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4. VALUASINUSANTARAWEBSITE2026\DATA UPLOAD\"/>
    </mc:Choice>
  </mc:AlternateContent>
  <xr:revisionPtr revIDLastSave="0" documentId="13_ncr:1_{48875671-F3EC-490C-8E83-04F2CE25F7A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Discount Rate" sheetId="4" r:id="rId1"/>
    <sheet name="pendapatan royalti " sheetId="8" r:id="rId2"/>
  </sheets>
  <externalReferences>
    <externalReference r:id="rId3"/>
    <externalReference r:id="rId4"/>
  </externalReferences>
  <definedNames>
    <definedName name="_1Excel_BuiltIn_Print_Area_2">NA()</definedName>
    <definedName name="_4Z_FE2C2EAB_4123_4290_86BA_08E4AC7C24C1_.wvu.Rows_1" localSheetId="1">([1]DCF!#REF!,[1]DCF!#REF!,[1]DCF!$18:$19)</definedName>
    <definedName name="_4Z_FE2C2EAB_4123_4290_86BA_08E4AC7C24C1_.wvu.Rows_1">([1]DCF!#REF!,[1]DCF!#REF!,[1]DCF!$18:$19)</definedName>
    <definedName name="BC" localSheetId="1">#REF!</definedName>
    <definedName name="BC">#REF!</definedName>
    <definedName name="CF" localSheetId="1">[2]MHPP!#REF!</definedName>
    <definedName name="CF">[2]MHPP!#REF!</definedName>
    <definedName name="Jadwal" localSheetId="1">#REF!</definedName>
    <definedName name="Jadwal">#REF!</definedName>
    <definedName name="_xlnm.Print_Area" localSheetId="0">'Discount Rate'!$A$1:$M$45</definedName>
    <definedName name="PRINT_AREA_MI">NA()</definedName>
    <definedName name="RPP" localSheetId="1">#REF!</definedName>
    <definedName name="RPP">#REF!</definedName>
    <definedName name="Z_AC236A6A_632A_43B1_B283_C6312913D85E_.wvu.PrintArea" localSheetId="1">#REF!</definedName>
    <definedName name="Z_AC236A6A_632A_43B1_B283_C6312913D85E_.wvu.PrintArea">#REF!</definedName>
    <definedName name="Z_AC236A6A_632A_43B1_B283_C6312913D85E_.wvu.Rows" localSheetId="1">[1]DCF!#REF!</definedName>
    <definedName name="Z_AC236A6A_632A_43B1_B283_C6312913D85E_.wvu.Rows">[1]DCF!#REF!</definedName>
    <definedName name="Z_FE2C2EAB_4123_4290_86BA_08E4AC7C24C1_.wvu.PrintArea" localSheetId="1">#REF!</definedName>
    <definedName name="Z_FE2C2EAB_4123_4290_86BA_08E4AC7C24C1_.wvu.PrintArea">#REF!</definedName>
    <definedName name="Z_FE2C2EAB_4123_4290_86BA_08E4AC7C24C1_.wvu.Rows" localSheetId="1">(#REF!,#REF!)</definedName>
    <definedName name="Z_FE2C2EAB_4123_4290_86BA_08E4AC7C24C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8" l="1"/>
  <c r="G54" i="8" s="1"/>
  <c r="G50" i="8"/>
  <c r="H50" i="8"/>
  <c r="I50" i="8"/>
  <c r="J50" i="8"/>
  <c r="K50" i="8"/>
  <c r="L50" i="8"/>
  <c r="M50" i="8"/>
  <c r="N50" i="8"/>
  <c r="F50" i="8"/>
  <c r="G34" i="8"/>
  <c r="H34" i="8"/>
  <c r="I34" i="8"/>
  <c r="J34" i="8"/>
  <c r="K34" i="8"/>
  <c r="L34" i="8"/>
  <c r="M34" i="8"/>
  <c r="N34" i="8"/>
  <c r="F34" i="8"/>
  <c r="G20" i="8"/>
  <c r="H20" i="8"/>
  <c r="I20" i="8"/>
  <c r="J20" i="8"/>
  <c r="K20" i="8"/>
  <c r="L20" i="8"/>
  <c r="M20" i="8"/>
  <c r="N20" i="8"/>
  <c r="F20" i="8"/>
  <c r="H6" i="8"/>
  <c r="I6" i="8" s="1"/>
  <c r="J6" i="8" s="1"/>
  <c r="K6" i="8" s="1"/>
  <c r="L6" i="8" s="1"/>
  <c r="M6" i="8" s="1"/>
  <c r="N6" i="8" s="1"/>
  <c r="G6" i="8"/>
  <c r="C61" i="8"/>
  <c r="G52" i="8"/>
  <c r="H52" i="8"/>
  <c r="I52" i="8"/>
  <c r="J52" i="8"/>
  <c r="K52" i="8"/>
  <c r="L52" i="8"/>
  <c r="M52" i="8"/>
  <c r="N52" i="8"/>
  <c r="F52" i="8"/>
  <c r="G39" i="8"/>
  <c r="H39" i="8" s="1"/>
  <c r="I39" i="8" s="1"/>
  <c r="J39" i="8" s="1"/>
  <c r="K39" i="8" s="1"/>
  <c r="L39" i="8" s="1"/>
  <c r="M39" i="8" s="1"/>
  <c r="N39" i="8" s="1"/>
  <c r="F37" i="8"/>
  <c r="F42" i="8" s="1"/>
  <c r="F44" i="8" s="1"/>
  <c r="G36" i="8"/>
  <c r="G35" i="8"/>
  <c r="H35" i="8" s="1"/>
  <c r="I35" i="8" s="1"/>
  <c r="J35" i="8" s="1"/>
  <c r="K35" i="8" s="1"/>
  <c r="L35" i="8" s="1"/>
  <c r="M35" i="8" s="1"/>
  <c r="N35" i="8" s="1"/>
  <c r="G25" i="8"/>
  <c r="H25" i="8" s="1"/>
  <c r="I25" i="8" s="1"/>
  <c r="J25" i="8" s="1"/>
  <c r="K25" i="8" s="1"/>
  <c r="L25" i="8" s="1"/>
  <c r="M25" i="8" s="1"/>
  <c r="N25" i="8" s="1"/>
  <c r="F23" i="8"/>
  <c r="F28" i="8" s="1"/>
  <c r="F30" i="8" s="1"/>
  <c r="G22" i="8"/>
  <c r="G21" i="8"/>
  <c r="H21" i="8" s="1"/>
  <c r="I21" i="8" s="1"/>
  <c r="J21" i="8" s="1"/>
  <c r="K21" i="8" s="1"/>
  <c r="L21" i="8" s="1"/>
  <c r="M21" i="8" s="1"/>
  <c r="N21" i="8" s="1"/>
  <c r="G11" i="8"/>
  <c r="H11" i="8" s="1"/>
  <c r="I11" i="8" s="1"/>
  <c r="J11" i="8" s="1"/>
  <c r="K11" i="8" s="1"/>
  <c r="L11" i="8" s="1"/>
  <c r="M11" i="8" s="1"/>
  <c r="N11" i="8" s="1"/>
  <c r="F9" i="8"/>
  <c r="F14" i="8" s="1"/>
  <c r="F16" i="8" s="1"/>
  <c r="G8" i="8"/>
  <c r="G7" i="8"/>
  <c r="H7" i="8" s="1"/>
  <c r="I7" i="8" s="1"/>
  <c r="J7" i="8" s="1"/>
  <c r="K7" i="8" s="1"/>
  <c r="L7" i="8" s="1"/>
  <c r="M7" i="8" s="1"/>
  <c r="N7" i="8" s="1"/>
  <c r="H54" i="8" l="1"/>
  <c r="I54" i="8"/>
  <c r="J54" i="8"/>
  <c r="C62" i="8"/>
  <c r="C63" i="8" s="1"/>
  <c r="C65" i="8" s="1"/>
  <c r="K54" i="8"/>
  <c r="M54" i="8"/>
  <c r="L54" i="8"/>
  <c r="F54" i="8"/>
  <c r="N54" i="8"/>
  <c r="G37" i="8"/>
  <c r="G42" i="8" s="1"/>
  <c r="G44" i="8" s="1"/>
  <c r="G9" i="8"/>
  <c r="G14" i="8" s="1"/>
  <c r="G23" i="8"/>
  <c r="G28" i="8" s="1"/>
  <c r="G30" i="8" s="1"/>
  <c r="H36" i="8"/>
  <c r="H37" i="8" s="1"/>
  <c r="H42" i="8" s="1"/>
  <c r="H44" i="8" s="1"/>
  <c r="G16" i="8"/>
  <c r="G13" i="8"/>
  <c r="H8" i="8"/>
  <c r="G51" i="8"/>
  <c r="F51" i="8"/>
  <c r="H22" i="8"/>
  <c r="F55" i="8" l="1"/>
  <c r="I36" i="8"/>
  <c r="J36" i="8" s="1"/>
  <c r="H23" i="8"/>
  <c r="H28" i="8" s="1"/>
  <c r="H30" i="8" s="1"/>
  <c r="H51" i="8" s="1"/>
  <c r="I22" i="8"/>
  <c r="H9" i="8"/>
  <c r="H14" i="8" s="1"/>
  <c r="I8" i="8"/>
  <c r="G55" i="8"/>
  <c r="I37" i="8"/>
  <c r="I42" i="8" s="1"/>
  <c r="I44" i="8" s="1"/>
  <c r="H16" i="8" l="1"/>
  <c r="H13" i="8"/>
  <c r="I9" i="8"/>
  <c r="I14" i="8" s="1"/>
  <c r="J8" i="8"/>
  <c r="I23" i="8"/>
  <c r="I28" i="8" s="1"/>
  <c r="I30" i="8" s="1"/>
  <c r="I51" i="8" s="1"/>
  <c r="J22" i="8"/>
  <c r="J37" i="8"/>
  <c r="J42" i="8" s="1"/>
  <c r="J44" i="8" s="1"/>
  <c r="K36" i="8"/>
  <c r="H55" i="8"/>
  <c r="I55" i="8" l="1"/>
  <c r="I16" i="8"/>
  <c r="I13" i="8"/>
  <c r="K37" i="8"/>
  <c r="K42" i="8" s="1"/>
  <c r="K44" i="8" s="1"/>
  <c r="L36" i="8"/>
  <c r="J23" i="8"/>
  <c r="J28" i="8" s="1"/>
  <c r="J30" i="8" s="1"/>
  <c r="J51" i="8" s="1"/>
  <c r="K22" i="8"/>
  <c r="K8" i="8"/>
  <c r="J9" i="8"/>
  <c r="J14" i="8" s="1"/>
  <c r="J55" i="8" l="1"/>
  <c r="K9" i="8"/>
  <c r="K14" i="8" s="1"/>
  <c r="L8" i="8"/>
  <c r="J16" i="8"/>
  <c r="J13" i="8"/>
  <c r="K23" i="8"/>
  <c r="K28" i="8" s="1"/>
  <c r="K30" i="8" s="1"/>
  <c r="K51" i="8" s="1"/>
  <c r="L22" i="8"/>
  <c r="L37" i="8"/>
  <c r="L42" i="8" s="1"/>
  <c r="L44" i="8" s="1"/>
  <c r="M36" i="8"/>
  <c r="M37" i="8" l="1"/>
  <c r="M42" i="8" s="1"/>
  <c r="M44" i="8" s="1"/>
  <c r="N36" i="8"/>
  <c r="N37" i="8" s="1"/>
  <c r="N42" i="8" s="1"/>
  <c r="N44" i="8" s="1"/>
  <c r="L9" i="8"/>
  <c r="L14" i="8" s="1"/>
  <c r="M8" i="8"/>
  <c r="L23" i="8"/>
  <c r="L28" i="8" s="1"/>
  <c r="L30" i="8" s="1"/>
  <c r="L51" i="8" s="1"/>
  <c r="M22" i="8"/>
  <c r="K55" i="8"/>
  <c r="K16" i="8"/>
  <c r="K13" i="8"/>
  <c r="L55" i="8" l="1"/>
  <c r="L16" i="8"/>
  <c r="L13" i="8"/>
  <c r="M23" i="8"/>
  <c r="M28" i="8" s="1"/>
  <c r="M30" i="8" s="1"/>
  <c r="N22" i="8"/>
  <c r="N23" i="8" s="1"/>
  <c r="N28" i="8" s="1"/>
  <c r="N30" i="8" s="1"/>
  <c r="N51" i="8" s="1"/>
  <c r="M9" i="8"/>
  <c r="M14" i="8" s="1"/>
  <c r="N8" i="8"/>
  <c r="N9" i="8" s="1"/>
  <c r="N14" i="8" s="1"/>
  <c r="M51" i="8"/>
  <c r="O51" i="8" l="1"/>
  <c r="O56" i="8" s="1"/>
  <c r="N55" i="8"/>
  <c r="N16" i="8"/>
  <c r="N13" i="8"/>
  <c r="M55" i="8"/>
  <c r="M16" i="8"/>
  <c r="M13" i="8"/>
  <c r="F57" i="8" l="1"/>
  <c r="G13" i="4" l="1"/>
  <c r="K11" i="4"/>
  <c r="K13" i="4" l="1"/>
  <c r="M28" i="4" l="1"/>
  <c r="H35" i="4" l="1"/>
  <c r="L35" i="4" s="1"/>
  <c r="G28" i="4" l="1"/>
  <c r="H36" i="4" s="1"/>
  <c r="L36" i="4" s="1"/>
  <c r="L38" i="4" s="1"/>
  <c r="I13" i="4" l="1"/>
  <c r="E13" i="4" s="1"/>
  <c r="G18" i="4" s="1"/>
</calcChain>
</file>

<file path=xl/sharedStrings.xml><?xml version="1.0" encoding="utf-8"?>
<sst xmlns="http://schemas.openxmlformats.org/spreadsheetml/2006/main" count="110" uniqueCount="76">
  <si>
    <t>Tahun Proyeksi</t>
  </si>
  <si>
    <t>JENIS MODAL</t>
  </si>
  <si>
    <t>BIAYA MODAL</t>
  </si>
  <si>
    <t>KOMPOSISI</t>
  </si>
  <si>
    <t>TERTIMBANG</t>
  </si>
  <si>
    <t>Weighted Average Cost of Capital (WACC)</t>
  </si>
  <si>
    <t>PERHITUNGAN COST OF EQUITY</t>
  </si>
  <si>
    <t>PERHITUNGAN COST OF DEBT</t>
  </si>
  <si>
    <t>a. Risk Free Rate (R )</t>
  </si>
  <si>
    <t>a. Bunga Bank</t>
  </si>
  <si>
    <t>b. Risk Premium Ekuitas (R )</t>
  </si>
  <si>
    <t>b.Pajak</t>
  </si>
  <si>
    <r>
      <t xml:space="preserve">c.  </t>
    </r>
    <r>
      <rPr>
        <sz val="11"/>
        <color theme="1"/>
        <rFont val="Calibri"/>
        <family val="2"/>
      </rPr>
      <t xml:space="preserve">Β </t>
    </r>
    <r>
      <rPr>
        <sz val="10"/>
        <rFont val="Arial"/>
        <family val="2"/>
      </rPr>
      <t>(Beta)</t>
    </r>
  </si>
  <si>
    <t>======&gt;</t>
  </si>
  <si>
    <t>BL</t>
  </si>
  <si>
    <t>Keterangan</t>
  </si>
  <si>
    <t>COST OF EQUITY  (Ke = Rf + (Rm-Rf) * Beta + Rs)</t>
  </si>
  <si>
    <t>COST OF DEBT (Kd = I x (1-T))</t>
  </si>
  <si>
    <t>Unleverage Beta (Beta Industry Sejenis)</t>
  </si>
  <si>
    <r>
      <t>1+ ((1-t) X 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>/K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>))</t>
    </r>
  </si>
  <si>
    <r>
      <t>BU X (1+((1-t)x(K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>/K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>)))</t>
    </r>
  </si>
  <si>
    <t>BU =</t>
  </si>
  <si>
    <t>BL =</t>
  </si>
  <si>
    <r>
      <t>COST OF DEBT 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 xml:space="preserve"> = I x (1-T))</t>
    </r>
  </si>
  <si>
    <r>
      <t>COST OF EQUITY (K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 xml:space="preserve"> = R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0"/>
        <rFont val="Arial"/>
        <family val="2"/>
      </rPr>
      <t xml:space="preserve"> + (R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0"/>
        <rFont val="Arial"/>
        <family val="2"/>
      </rPr>
      <t>-R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0"/>
        <rFont val="Arial"/>
        <family val="2"/>
      </rPr>
      <t>) * Beta + R</t>
    </r>
    <r>
      <rPr>
        <vertAlign val="subscript"/>
        <sz val="11"/>
        <color theme="1"/>
        <rFont val="Calibri"/>
        <family val="2"/>
        <scheme val="minor"/>
      </rPr>
      <t>s</t>
    </r>
  </si>
  <si>
    <t>COST OF DEBT DAN WEIGHTED AVERAGE COST OF CAPITAL (WACC)</t>
  </si>
  <si>
    <t>PENGHITUNGAN BETA, COST OF EQUITY</t>
  </si>
  <si>
    <t>Comparable Companies</t>
  </si>
  <si>
    <t>Levered Beta</t>
  </si>
  <si>
    <t>Tax Rate</t>
  </si>
  <si>
    <t>DER</t>
  </si>
  <si>
    <t>Unlevered Beta</t>
  </si>
  <si>
    <t>Beta Industry Market</t>
  </si>
  <si>
    <t>Beta</t>
  </si>
  <si>
    <t>Leverage Beta Objek Penilaian</t>
  </si>
  <si>
    <t>PERHITUNGAN WEIGHTED AVERAGE COST OF CAPITAL (WACC)</t>
  </si>
  <si>
    <t>PERHITUNGAN LEVERED &amp; UNLEVERED BETA</t>
  </si>
  <si>
    <t>=</t>
  </si>
  <si>
    <r>
      <t>R</t>
    </r>
    <r>
      <rPr>
        <vertAlign val="subscript"/>
        <sz val="11"/>
        <color theme="1"/>
        <rFont val="Calibri"/>
        <family val="2"/>
        <scheme val="minor"/>
      </rPr>
      <t>f</t>
    </r>
  </si>
  <si>
    <t>= Tingkat Balikan yang Diharapkan oleh Pasar Ekuitas</t>
  </si>
  <si>
    <t xml:space="preserve">β (Beta) </t>
  </si>
  <si>
    <t>= Ukuran Risiko Sistimatis</t>
  </si>
  <si>
    <t>= Tingkat Balikan Bebas Risiko</t>
  </si>
  <si>
    <t>Rm</t>
  </si>
  <si>
    <t>Rs</t>
  </si>
  <si>
    <t>= Tingkat Balikan Pasar</t>
  </si>
  <si>
    <t>= Tingkat Balikan Premium Tambahan</t>
  </si>
  <si>
    <r>
      <t>R</t>
    </r>
    <r>
      <rPr>
        <vertAlign val="subscript"/>
        <sz val="11"/>
        <color theme="1"/>
        <rFont val="Calibri"/>
        <family val="2"/>
        <scheme val="minor"/>
      </rPr>
      <t>pm (Rm-Rf)</t>
    </r>
    <r>
      <rPr>
        <sz val="10"/>
        <rFont val="Arial"/>
        <family val="2"/>
      </rPr>
      <t xml:space="preserve"> </t>
    </r>
  </si>
  <si>
    <t>PERHITUNGAN NILAI</t>
  </si>
  <si>
    <t>Capitalization Rate</t>
  </si>
  <si>
    <t>Capitalization Factor</t>
  </si>
  <si>
    <t>Estimasi Nilai Merk</t>
  </si>
  <si>
    <t>Pajak</t>
  </si>
  <si>
    <t>Growth</t>
  </si>
  <si>
    <t>NILAI ROYALTI</t>
  </si>
  <si>
    <t>Aliran Royalti</t>
  </si>
  <si>
    <t>Volume Penjualan</t>
  </si>
  <si>
    <t>Harga Per satuan</t>
  </si>
  <si>
    <t xml:space="preserve">Biaya </t>
  </si>
  <si>
    <t>Total Penjualan/Pendapatan</t>
  </si>
  <si>
    <t>Penjualan/Pendapatan Bersih</t>
  </si>
  <si>
    <t>Royalti rate</t>
  </si>
  <si>
    <t>royalti yang dibayar</t>
  </si>
  <si>
    <t>NILAI ROYALTI MEREK DAGANG ABC</t>
  </si>
  <si>
    <t>Total Royalti yang diperoleh</t>
  </si>
  <si>
    <t>(Rp)</t>
  </si>
  <si>
    <t>Diskonto</t>
  </si>
  <si>
    <t>Terminal Vaue</t>
  </si>
  <si>
    <t>Nilai Sekarang Royalti</t>
  </si>
  <si>
    <t>Terminal Value</t>
  </si>
  <si>
    <t>Deskripsi</t>
  </si>
  <si>
    <t>Tahun Penilaian</t>
  </si>
  <si>
    <t>Total Royalti Diperoleh</t>
  </si>
  <si>
    <t>Royalti PT ABC Kalimantan</t>
  </si>
  <si>
    <t>Royalti PT ABC Sulawesi</t>
  </si>
  <si>
    <t>Royalti PT ABC Sumatera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</si>
</sst>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8" formatCode="_(* #,##0_);_(* \(#,##0\);_(* &quot;-&quot;??_);_(@_)"/>
    <numFmt numFmtId="169" formatCode="_(* #,##0_);_(* \(#,##0\);_(* \-_);_(@_)"/>
    <numFmt numFmtId="170" formatCode="_(* #,##0.00_);_(* \(#,##0.00\);_(* \-_);_(@_)"/>
    <numFmt numFmtId="171" formatCode="0.0000"/>
    <numFmt numFmtId="173" formatCode="_(* #,##0.0000_);_(* \(#,##0.0000\);_(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31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169" fontId="11" fillId="0" borderId="0" applyFill="0" applyBorder="0" applyAlignment="0" applyProtection="0"/>
    <xf numFmtId="9" fontId="11" fillId="0" borderId="0" applyFill="0" applyBorder="0" applyAlignment="0" applyProtection="0"/>
    <xf numFmtId="9" fontId="3" fillId="0" borderId="0" applyFont="0" applyFill="0" applyBorder="0" applyAlignment="0" applyProtection="0"/>
  </cellStyleXfs>
  <cellXfs count="133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center"/>
    </xf>
    <xf numFmtId="0" fontId="5" fillId="0" borderId="0" xfId="2" applyFont="1"/>
    <xf numFmtId="0" fontId="2" fillId="0" borderId="0" xfId="2"/>
    <xf numFmtId="0" fontId="7" fillId="0" borderId="0" xfId="2" applyFont="1"/>
    <xf numFmtId="10" fontId="0" fillId="0" borderId="0" xfId="3" applyNumberFormat="1" applyFont="1"/>
    <xf numFmtId="0" fontId="2" fillId="0" borderId="0" xfId="2" quotePrefix="1"/>
    <xf numFmtId="0" fontId="9" fillId="0" borderId="0" xfId="2" applyFont="1"/>
    <xf numFmtId="0" fontId="8" fillId="0" borderId="0" xfId="2" applyFont="1"/>
    <xf numFmtId="0" fontId="0" fillId="0" borderId="0" xfId="3" applyNumberFormat="1" applyFont="1"/>
    <xf numFmtId="0" fontId="1" fillId="0" borderId="0" xfId="2" applyFont="1"/>
    <xf numFmtId="0" fontId="1" fillId="0" borderId="0" xfId="2" applyFont="1" applyAlignment="1">
      <alignment horizontal="center"/>
    </xf>
    <xf numFmtId="10" fontId="0" fillId="0" borderId="18" xfId="3" applyNumberFormat="1" applyFont="1" applyBorder="1" applyAlignment="1">
      <alignment horizontal="center" vertical="center"/>
    </xf>
    <xf numFmtId="10" fontId="0" fillId="0" borderId="19" xfId="3" applyNumberFormat="1" applyFont="1" applyBorder="1" applyAlignment="1">
      <alignment horizontal="center" vertical="center"/>
    </xf>
    <xf numFmtId="10" fontId="0" fillId="0" borderId="20" xfId="3" applyNumberFormat="1" applyFont="1" applyBorder="1" applyAlignment="1">
      <alignment horizontal="center" vertical="center"/>
    </xf>
    <xf numFmtId="0" fontId="2" fillId="4" borderId="15" xfId="2" applyFill="1" applyBorder="1"/>
    <xf numFmtId="0" fontId="2" fillId="4" borderId="16" xfId="2" applyFill="1" applyBorder="1"/>
    <xf numFmtId="10" fontId="5" fillId="4" borderId="0" xfId="3" applyNumberFormat="1" applyFont="1" applyFill="1" applyBorder="1"/>
    <xf numFmtId="10" fontId="5" fillId="4" borderId="0" xfId="3" applyNumberFormat="1" applyFont="1" applyFill="1" applyBorder="1" applyAlignment="1"/>
    <xf numFmtId="10" fontId="5" fillId="0" borderId="0" xfId="3" applyNumberFormat="1" applyFont="1" applyFill="1" applyBorder="1"/>
    <xf numFmtId="10" fontId="5" fillId="0" borderId="0" xfId="3" applyNumberFormat="1" applyFont="1" applyFill="1" applyBorder="1" applyAlignment="1"/>
    <xf numFmtId="0" fontId="3" fillId="0" borderId="0" xfId="4" applyAlignment="1">
      <alignment vertical="center"/>
    </xf>
    <xf numFmtId="0" fontId="3" fillId="0" borderId="30" xfId="4" applyBorder="1" applyAlignment="1">
      <alignment vertical="center"/>
    </xf>
    <xf numFmtId="0" fontId="3" fillId="0" borderId="31" xfId="4" applyBorder="1" applyAlignment="1">
      <alignment vertical="center"/>
    </xf>
    <xf numFmtId="0" fontId="3" fillId="0" borderId="32" xfId="4" applyBorder="1" applyAlignment="1">
      <alignment vertical="center"/>
    </xf>
    <xf numFmtId="0" fontId="0" fillId="0" borderId="33" xfId="4" applyFont="1" applyBorder="1" applyAlignment="1">
      <alignment vertical="center"/>
    </xf>
    <xf numFmtId="0" fontId="3" fillId="0" borderId="33" xfId="4" applyBorder="1" applyAlignment="1">
      <alignment vertical="center"/>
    </xf>
    <xf numFmtId="0" fontId="3" fillId="0" borderId="34" xfId="4" applyBorder="1" applyAlignment="1">
      <alignment vertical="center"/>
    </xf>
    <xf numFmtId="0" fontId="0" fillId="0" borderId="35" xfId="4" applyFont="1" applyBorder="1" applyAlignment="1">
      <alignment vertical="center"/>
    </xf>
    <xf numFmtId="0" fontId="3" fillId="0" borderId="36" xfId="4" applyBorder="1" applyAlignment="1">
      <alignment vertical="center"/>
    </xf>
    <xf numFmtId="0" fontId="3" fillId="0" borderId="37" xfId="4" applyBorder="1" applyAlignment="1">
      <alignment vertical="center"/>
    </xf>
    <xf numFmtId="0" fontId="2" fillId="0" borderId="6" xfId="2" applyBorder="1" applyAlignment="1">
      <alignment horizontal="center"/>
    </xf>
    <xf numFmtId="170" fontId="5" fillId="0" borderId="0" xfId="2" applyNumberFormat="1" applyFont="1"/>
    <xf numFmtId="0" fontId="12" fillId="0" borderId="0" xfId="4" applyFont="1" applyAlignment="1">
      <alignment vertical="center"/>
    </xf>
    <xf numFmtId="0" fontId="1" fillId="0" borderId="0" xfId="2" quotePrefix="1" applyFont="1"/>
    <xf numFmtId="0" fontId="1" fillId="0" borderId="0" xfId="2" quotePrefix="1" applyFont="1" applyAlignment="1">
      <alignment horizontal="center"/>
    </xf>
    <xf numFmtId="0" fontId="0" fillId="0" borderId="1" xfId="0" applyBorder="1"/>
    <xf numFmtId="168" fontId="0" fillId="0" borderId="1" xfId="1" applyNumberFormat="1" applyFont="1" applyBorder="1"/>
    <xf numFmtId="168" fontId="0" fillId="0" borderId="2" xfId="1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1" xfId="1" applyNumberFormat="1" applyFont="1" applyBorder="1" applyAlignment="1">
      <alignment vertical="center"/>
    </xf>
    <xf numFmtId="168" fontId="0" fillId="0" borderId="0" xfId="1" applyNumberFormat="1" applyFont="1" applyAlignment="1">
      <alignment vertical="center"/>
    </xf>
    <xf numFmtId="164" fontId="0" fillId="0" borderId="1" xfId="1" applyFont="1" applyBorder="1" applyAlignment="1">
      <alignment vertical="center"/>
    </xf>
    <xf numFmtId="9" fontId="0" fillId="0" borderId="1" xfId="7" applyFont="1" applyBorder="1" applyAlignment="1">
      <alignment vertical="center"/>
    </xf>
    <xf numFmtId="0" fontId="0" fillId="7" borderId="1" xfId="0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164" fontId="4" fillId="7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4" fillId="0" borderId="0" xfId="0" applyFont="1"/>
    <xf numFmtId="173" fontId="0" fillId="0" borderId="1" xfId="1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9" fontId="0" fillId="0" borderId="4" xfId="0" applyNumberFormat="1" applyBorder="1" applyAlignment="1">
      <alignment horizontal="center" vertical="center"/>
    </xf>
    <xf numFmtId="168" fontId="0" fillId="0" borderId="4" xfId="1" applyNumberFormat="1" applyFont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9" fontId="0" fillId="7" borderId="1" xfId="0" applyNumberFormat="1" applyFill="1" applyBorder="1" applyAlignment="1">
      <alignment horizontal="center" vertical="center"/>
    </xf>
    <xf numFmtId="0" fontId="0" fillId="0" borderId="0" xfId="0" quotePrefix="1"/>
    <xf numFmtId="10" fontId="0" fillId="0" borderId="0" xfId="7" applyNumberFormat="1" applyFont="1"/>
    <xf numFmtId="0" fontId="0" fillId="2" borderId="2" xfId="0" applyFill="1" applyBorder="1" applyAlignment="1">
      <alignment vertical="center"/>
    </xf>
    <xf numFmtId="10" fontId="0" fillId="0" borderId="1" xfId="0" applyNumberForma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9" fontId="0" fillId="7" borderId="8" xfId="0" applyNumberFormat="1" applyFill="1" applyBorder="1" applyAlignment="1">
      <alignment horizontal="center" vertical="center"/>
    </xf>
    <xf numFmtId="168" fontId="0" fillId="0" borderId="4" xfId="1" applyNumberFormat="1" applyFont="1" applyBorder="1" applyAlignment="1">
      <alignment horizontal="center" vertical="center"/>
    </xf>
    <xf numFmtId="0" fontId="14" fillId="7" borderId="1" xfId="0" applyFont="1" applyFill="1" applyBorder="1"/>
    <xf numFmtId="0" fontId="4" fillId="0" borderId="0" xfId="0" applyFont="1"/>
    <xf numFmtId="10" fontId="4" fillId="4" borderId="15" xfId="3" applyNumberFormat="1" applyFont="1" applyFill="1" applyBorder="1" applyAlignment="1">
      <alignment horizontal="center" vertical="center"/>
    </xf>
    <xf numFmtId="10" fontId="4" fillId="4" borderId="17" xfId="3" applyNumberFormat="1" applyFont="1" applyFill="1" applyBorder="1" applyAlignment="1">
      <alignment horizontal="center" vertical="center"/>
    </xf>
    <xf numFmtId="170" fontId="3" fillId="6" borderId="35" xfId="4" applyNumberFormat="1" applyFill="1" applyBorder="1" applyAlignment="1">
      <alignment horizontal="center" vertical="center"/>
    </xf>
    <xf numFmtId="170" fontId="3" fillId="6" borderId="37" xfId="4" applyNumberFormat="1" applyFill="1" applyBorder="1" applyAlignment="1">
      <alignment horizontal="center" vertical="center"/>
    </xf>
    <xf numFmtId="10" fontId="0" fillId="0" borderId="5" xfId="3" applyNumberFormat="1" applyFont="1" applyBorder="1" applyAlignment="1">
      <alignment horizontal="center" vertical="center"/>
    </xf>
    <xf numFmtId="10" fontId="0" fillId="0" borderId="7" xfId="3" applyNumberFormat="1" applyFont="1" applyBorder="1" applyAlignment="1">
      <alignment horizontal="center" vertical="center"/>
    </xf>
    <xf numFmtId="10" fontId="0" fillId="0" borderId="8" xfId="3" applyNumberFormat="1" applyFont="1" applyBorder="1" applyAlignment="1">
      <alignment horizontal="center" vertical="center"/>
    </xf>
    <xf numFmtId="10" fontId="0" fillId="0" borderId="10" xfId="3" applyNumberFormat="1" applyFont="1" applyBorder="1" applyAlignment="1">
      <alignment horizontal="center" vertical="center"/>
    </xf>
    <xf numFmtId="0" fontId="5" fillId="3" borderId="26" xfId="2" applyFont="1" applyFill="1" applyBorder="1" applyAlignment="1">
      <alignment horizontal="center"/>
    </xf>
    <xf numFmtId="0" fontId="5" fillId="3" borderId="27" xfId="2" applyFont="1" applyFill="1" applyBorder="1" applyAlignment="1">
      <alignment horizontal="center"/>
    </xf>
    <xf numFmtId="0" fontId="1" fillId="0" borderId="21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5" fillId="4" borderId="13" xfId="2" applyFont="1" applyFill="1" applyBorder="1" applyAlignment="1">
      <alignment horizontal="left"/>
    </xf>
    <xf numFmtId="0" fontId="5" fillId="4" borderId="14" xfId="2" applyFont="1" applyFill="1" applyBorder="1" applyAlignment="1">
      <alignment horizontal="left"/>
    </xf>
    <xf numFmtId="170" fontId="0" fillId="0" borderId="33" xfId="5" applyNumberFormat="1" applyFont="1" applyFill="1" applyBorder="1" applyAlignment="1" applyProtection="1">
      <alignment horizontal="center" vertical="center"/>
    </xf>
    <xf numFmtId="170" fontId="0" fillId="0" borderId="34" xfId="5" applyNumberFormat="1" applyFont="1" applyFill="1" applyBorder="1" applyAlignment="1" applyProtection="1">
      <alignment horizontal="center" vertical="center"/>
    </xf>
    <xf numFmtId="171" fontId="3" fillId="0" borderId="33" xfId="4" applyNumberFormat="1" applyBorder="1" applyAlignment="1">
      <alignment horizontal="center" vertical="center"/>
    </xf>
    <xf numFmtId="171" fontId="3" fillId="0" borderId="34" xfId="4" applyNumberFormat="1" applyBorder="1" applyAlignment="1">
      <alignment horizontal="center" vertical="center"/>
    </xf>
    <xf numFmtId="10" fontId="0" fillId="0" borderId="12" xfId="3" applyNumberFormat="1" applyFont="1" applyBorder="1" applyAlignment="1">
      <alignment horizontal="center" vertical="center"/>
    </xf>
    <xf numFmtId="0" fontId="5" fillId="3" borderId="24" xfId="2" applyFont="1" applyFill="1" applyBorder="1" applyAlignment="1">
      <alignment horizontal="center"/>
    </xf>
    <xf numFmtId="0" fontId="5" fillId="3" borderId="25" xfId="2" applyFont="1" applyFill="1" applyBorder="1" applyAlignment="1">
      <alignment horizontal="center"/>
    </xf>
    <xf numFmtId="0" fontId="1" fillId="0" borderId="22" xfId="2" applyFont="1" applyBorder="1" applyAlignment="1">
      <alignment horizontal="left" vertical="center"/>
    </xf>
    <xf numFmtId="0" fontId="2" fillId="0" borderId="4" xfId="2" applyBorder="1" applyAlignment="1">
      <alignment horizontal="left" vertical="center"/>
    </xf>
    <xf numFmtId="0" fontId="1" fillId="0" borderId="11" xfId="2" applyFont="1" applyBorder="1" applyAlignment="1">
      <alignment horizontal="left"/>
    </xf>
    <xf numFmtId="0" fontId="1" fillId="0" borderId="1" xfId="2" applyFont="1" applyBorder="1" applyAlignment="1">
      <alignment horizontal="left"/>
    </xf>
    <xf numFmtId="0" fontId="5" fillId="3" borderId="28" xfId="2" applyFont="1" applyFill="1" applyBorder="1" applyAlignment="1">
      <alignment horizontal="center"/>
    </xf>
    <xf numFmtId="10" fontId="0" fillId="0" borderId="23" xfId="3" applyNumberFormat="1" applyFont="1" applyBorder="1" applyAlignment="1">
      <alignment horizontal="center" vertical="center"/>
    </xf>
    <xf numFmtId="10" fontId="0" fillId="0" borderId="33" xfId="6" applyNumberFormat="1" applyFont="1" applyFill="1" applyBorder="1" applyAlignment="1" applyProtection="1">
      <alignment horizontal="center" vertical="center"/>
    </xf>
    <xf numFmtId="10" fontId="0" fillId="0" borderId="34" xfId="6" applyNumberFormat="1" applyFont="1" applyFill="1" applyBorder="1" applyAlignment="1" applyProtection="1">
      <alignment horizontal="center" vertical="center"/>
    </xf>
    <xf numFmtId="171" fontId="3" fillId="0" borderId="35" xfId="4" applyNumberFormat="1" applyBorder="1" applyAlignment="1">
      <alignment horizontal="center" vertical="center"/>
    </xf>
    <xf numFmtId="171" fontId="3" fillId="0" borderId="37" xfId="4" applyNumberFormat="1" applyBorder="1" applyAlignment="1">
      <alignment horizontal="center" vertical="center"/>
    </xf>
    <xf numFmtId="10" fontId="0" fillId="0" borderId="35" xfId="6" applyNumberFormat="1" applyFont="1" applyFill="1" applyBorder="1" applyAlignment="1" applyProtection="1">
      <alignment horizontal="center" vertical="center"/>
    </xf>
    <xf numFmtId="10" fontId="0" fillId="0" borderId="37" xfId="6" applyNumberFormat="1" applyFont="1" applyFill="1" applyBorder="1" applyAlignment="1" applyProtection="1">
      <alignment horizontal="center" vertical="center"/>
    </xf>
    <xf numFmtId="0" fontId="10" fillId="0" borderId="0" xfId="2" applyFont="1" applyAlignment="1">
      <alignment horizontal="center"/>
    </xf>
    <xf numFmtId="0" fontId="3" fillId="5" borderId="25" xfId="4" applyFill="1" applyBorder="1" applyAlignment="1">
      <alignment horizontal="center" vertical="center"/>
    </xf>
    <xf numFmtId="0" fontId="3" fillId="5" borderId="24" xfId="4" applyFill="1" applyBorder="1" applyAlignment="1">
      <alignment horizontal="center" vertical="center"/>
    </xf>
    <xf numFmtId="0" fontId="3" fillId="5" borderId="29" xfId="4" applyFill="1" applyBorder="1" applyAlignment="1">
      <alignment horizontal="center" vertical="center"/>
    </xf>
    <xf numFmtId="168" fontId="13" fillId="7" borderId="8" xfId="1" applyNumberFormat="1" applyFont="1" applyFill="1" applyBorder="1" applyAlignment="1">
      <alignment vertical="center"/>
    </xf>
    <xf numFmtId="168" fontId="13" fillId="7" borderId="9" xfId="1" applyNumberFormat="1" applyFont="1" applyFill="1" applyBorder="1" applyAlignment="1">
      <alignment vertical="center"/>
    </xf>
    <xf numFmtId="168" fontId="13" fillId="7" borderId="10" xfId="1" applyNumberFormat="1" applyFont="1" applyFill="1" applyBorder="1" applyAlignment="1">
      <alignment vertical="center"/>
    </xf>
    <xf numFmtId="168" fontId="0" fillId="0" borderId="8" xfId="1" applyNumberFormat="1" applyFont="1" applyBorder="1" applyAlignment="1">
      <alignment horizontal="center" vertical="center"/>
    </xf>
    <xf numFmtId="168" fontId="0" fillId="0" borderId="9" xfId="1" applyNumberFormat="1" applyFont="1" applyBorder="1" applyAlignment="1">
      <alignment horizontal="center" vertical="center"/>
    </xf>
    <xf numFmtId="168" fontId="0" fillId="0" borderId="10" xfId="1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14" fillId="7" borderId="1" xfId="0" applyNumberFormat="1" applyFont="1" applyFill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right"/>
    </xf>
  </cellXfs>
  <cellStyles count="8">
    <cellStyle name="Comma" xfId="1" builtinId="3"/>
    <cellStyle name="Comma [0] 2" xfId="5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  <cellStyle name="Percent" xfId="7" builtinId="5"/>
    <cellStyle name="Percent 2" xfId="6" xr:uid="{00000000-0005-0000-0000-000006000000}"/>
    <cellStyle name="Percent 3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admin/Desktop/KKP%20OJA%20madya.xlsx" TargetMode="External"/><Relationship Id="rId1" Type="http://schemas.openxmlformats.org/officeDocument/2006/relationships/externalLinkPath" Target="/Users/admin/Desktop/KKP%20OJA%20mad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1\c\My%20Documents\Zodiac\Studi%20Kelayakan\Tahun%201999\Milenia%20Multi%20Makmur\Milenia-F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eraca"/>
      <sheetName val="RL"/>
      <sheetName val="wacc"/>
      <sheetName val="DCF"/>
      <sheetName val="EEM"/>
      <sheetName val="AAM"/>
      <sheetName val="Rekonsiliasi Nilai"/>
    </sheetNames>
    <sheetDataSet>
      <sheetData sheetId="0" refreshError="1"/>
      <sheetData sheetId="1" refreshError="1"/>
      <sheetData sheetId="2" refreshError="1"/>
      <sheetData sheetId="3">
        <row r="19">
          <cell r="A19" t="str">
            <v>Discount Rate</v>
          </cell>
          <cell r="B19">
            <v>0.1158</v>
          </cell>
          <cell r="C19">
            <v>0.1158</v>
          </cell>
          <cell r="D19">
            <v>0.1158</v>
          </cell>
          <cell r="E19">
            <v>0.1158</v>
          </cell>
          <cell r="F19">
            <v>0.1158</v>
          </cell>
          <cell r="G19">
            <v>0.1158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umsi"/>
      <sheetName val="MInv."/>
      <sheetName val="Inv"/>
      <sheetName val="MSales"/>
      <sheetName val="Sales"/>
      <sheetName val="MProd"/>
      <sheetName val="Prod"/>
      <sheetName val="MDepr&amp;amr"/>
      <sheetName val="Depr&amp;amr"/>
      <sheetName val="MBPTL"/>
      <sheetName val="BPTL"/>
      <sheetName val="MHPP"/>
      <sheetName val="HPP"/>
      <sheetName val="MBO"/>
      <sheetName val="BO"/>
      <sheetName val="MIS"/>
      <sheetName val="MCF"/>
      <sheetName val="CF"/>
      <sheetName val="IS"/>
      <sheetName val="Nrc"/>
      <sheetName val="MNPV"/>
      <sheetName val="NPV (2)"/>
      <sheetName val="NPV"/>
      <sheetName val="KI"/>
      <sheetName val="KMK"/>
      <sheetName val="KI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opLeftCell="A22" zoomScale="85" zoomScaleNormal="85" workbookViewId="0">
      <selection activeCell="M42" sqref="M42"/>
    </sheetView>
  </sheetViews>
  <sheetFormatPr defaultColWidth="9.1796875" defaultRowHeight="14.5" x14ac:dyDescent="0.35"/>
  <cols>
    <col min="1" max="7" width="9.1796875" style="4"/>
    <col min="8" max="8" width="7.1796875" style="4" bestFit="1" customWidth="1"/>
    <col min="9" max="16384" width="9.1796875" style="4"/>
  </cols>
  <sheetData>
    <row r="1" spans="1:16" x14ac:dyDescent="0.35">
      <c r="A1" s="3"/>
    </row>
    <row r="2" spans="1:16" ht="18.5" x14ac:dyDescent="0.45">
      <c r="A2" s="106" t="s">
        <v>26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6" ht="18.5" x14ac:dyDescent="0.45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P3" s="3"/>
    </row>
    <row r="7" spans="1:16" x14ac:dyDescent="0.35">
      <c r="B7" s="34" t="s">
        <v>36</v>
      </c>
    </row>
    <row r="8" spans="1:16" s="22" customFormat="1" ht="13" thickBot="1" x14ac:dyDescent="0.3"/>
    <row r="9" spans="1:16" s="22" customFormat="1" ht="13" thickBot="1" x14ac:dyDescent="0.3">
      <c r="B9" s="108" t="s">
        <v>27</v>
      </c>
      <c r="C9" s="107"/>
      <c r="D9" s="107"/>
      <c r="E9" s="107" t="s">
        <v>28</v>
      </c>
      <c r="F9" s="107"/>
      <c r="G9" s="107" t="s">
        <v>29</v>
      </c>
      <c r="H9" s="107"/>
      <c r="I9" s="107" t="s">
        <v>30</v>
      </c>
      <c r="J9" s="107"/>
      <c r="K9" s="107" t="s">
        <v>31</v>
      </c>
      <c r="L9" s="109"/>
    </row>
    <row r="10" spans="1:16" s="22" customFormat="1" ht="4.5" customHeight="1" x14ac:dyDescent="0.25">
      <c r="B10" s="23"/>
      <c r="C10" s="24"/>
      <c r="D10" s="25"/>
      <c r="E10" s="23"/>
      <c r="F10" s="25"/>
      <c r="G10" s="23"/>
      <c r="H10" s="25"/>
      <c r="I10" s="23"/>
      <c r="J10" s="25"/>
      <c r="K10" s="23"/>
      <c r="L10" s="25"/>
    </row>
    <row r="11" spans="1:16" s="22" customFormat="1" ht="12.5" x14ac:dyDescent="0.25">
      <c r="B11" s="26" t="s">
        <v>32</v>
      </c>
      <c r="D11" s="28"/>
      <c r="E11" s="87">
        <v>0</v>
      </c>
      <c r="F11" s="88"/>
      <c r="G11" s="100">
        <v>0</v>
      </c>
      <c r="H11" s="101"/>
      <c r="I11" s="89">
        <v>0</v>
      </c>
      <c r="J11" s="90"/>
      <c r="K11" s="87">
        <f>G16</f>
        <v>0.63</v>
      </c>
      <c r="L11" s="88"/>
    </row>
    <row r="12" spans="1:16" s="22" customFormat="1" ht="12.5" x14ac:dyDescent="0.25">
      <c r="B12" s="27"/>
      <c r="D12" s="28"/>
      <c r="E12" s="27"/>
      <c r="F12" s="28"/>
      <c r="G12" s="27"/>
      <c r="H12" s="28"/>
      <c r="I12" s="27"/>
      <c r="J12" s="28"/>
      <c r="K12" s="27"/>
      <c r="L12" s="28"/>
    </row>
    <row r="13" spans="1:16" s="22" customFormat="1" ht="13" thickBot="1" x14ac:dyDescent="0.3">
      <c r="B13" s="29" t="s">
        <v>33</v>
      </c>
      <c r="C13" s="30"/>
      <c r="D13" s="31"/>
      <c r="E13" s="74">
        <f>K13*(1+((1-G13)*(I13)))</f>
        <v>0.89837615379024649</v>
      </c>
      <c r="F13" s="75"/>
      <c r="G13" s="104">
        <f>M25</f>
        <v>0.25</v>
      </c>
      <c r="H13" s="105"/>
      <c r="I13" s="102">
        <f>M28/G28</f>
        <v>0.5679918598735374</v>
      </c>
      <c r="J13" s="103"/>
      <c r="K13" s="74">
        <f>AVERAGE(K11:K11)</f>
        <v>0.63</v>
      </c>
      <c r="L13" s="75"/>
    </row>
    <row r="15" spans="1:16" x14ac:dyDescent="0.35">
      <c r="J15" s="32" t="s">
        <v>14</v>
      </c>
      <c r="K15" s="32"/>
    </row>
    <row r="16" spans="1:16" ht="16.5" x14ac:dyDescent="0.45">
      <c r="B16" s="11" t="s">
        <v>18</v>
      </c>
      <c r="F16" s="7" t="s">
        <v>13</v>
      </c>
      <c r="G16" s="33">
        <v>0.63</v>
      </c>
      <c r="I16" s="11" t="s">
        <v>21</v>
      </c>
      <c r="J16" s="12" t="s">
        <v>19</v>
      </c>
      <c r="K16" s="12"/>
    </row>
    <row r="18" spans="1:13" ht="16.5" x14ac:dyDescent="0.45">
      <c r="B18" s="11" t="s">
        <v>34</v>
      </c>
      <c r="F18" s="7" t="s">
        <v>13</v>
      </c>
      <c r="G18" s="33">
        <f>E13</f>
        <v>0.89837615379024649</v>
      </c>
      <c r="I18" s="11" t="s">
        <v>22</v>
      </c>
      <c r="J18" s="11" t="s">
        <v>20</v>
      </c>
    </row>
    <row r="22" spans="1:13" x14ac:dyDescent="0.35">
      <c r="A22" s="5" t="s">
        <v>6</v>
      </c>
      <c r="I22" s="5" t="s">
        <v>7</v>
      </c>
    </row>
    <row r="23" spans="1:13" x14ac:dyDescent="0.35">
      <c r="A23" s="5"/>
      <c r="I23" s="5"/>
    </row>
    <row r="24" spans="1:13" x14ac:dyDescent="0.35">
      <c r="A24" s="4" t="s">
        <v>8</v>
      </c>
      <c r="F24" s="36" t="s">
        <v>37</v>
      </c>
      <c r="G24" s="6">
        <v>6.9699999999999998E-2</v>
      </c>
      <c r="I24" s="4" t="s">
        <v>9</v>
      </c>
      <c r="L24" s="36" t="s">
        <v>37</v>
      </c>
      <c r="M24" s="6">
        <v>0.1042</v>
      </c>
    </row>
    <row r="25" spans="1:13" x14ac:dyDescent="0.35">
      <c r="A25" s="4" t="s">
        <v>10</v>
      </c>
      <c r="F25" s="36" t="s">
        <v>37</v>
      </c>
      <c r="G25" s="6">
        <v>7.2999999999999995E-2</v>
      </c>
      <c r="I25" s="4" t="s">
        <v>11</v>
      </c>
      <c r="L25" s="36" t="s">
        <v>37</v>
      </c>
      <c r="M25" s="6">
        <v>0.25</v>
      </c>
    </row>
    <row r="26" spans="1:13" x14ac:dyDescent="0.35">
      <c r="A26" s="4" t="s">
        <v>12</v>
      </c>
      <c r="F26" s="36" t="s">
        <v>37</v>
      </c>
      <c r="G26" s="10">
        <v>0.93</v>
      </c>
    </row>
    <row r="27" spans="1:13" ht="3.75" customHeight="1" x14ac:dyDescent="0.35">
      <c r="G27" s="10"/>
    </row>
    <row r="28" spans="1:13" x14ac:dyDescent="0.35">
      <c r="A28" s="3" t="s">
        <v>16</v>
      </c>
      <c r="F28" s="36" t="s">
        <v>37</v>
      </c>
      <c r="G28" s="18">
        <f>G24+(G25*G26)</f>
        <v>0.13758999999999999</v>
      </c>
      <c r="I28" s="3" t="s">
        <v>17</v>
      </c>
      <c r="L28" s="36" t="s">
        <v>37</v>
      </c>
      <c r="M28" s="19">
        <f>M24*(1-M25)</f>
        <v>7.8149999999999997E-2</v>
      </c>
    </row>
    <row r="29" spans="1:13" x14ac:dyDescent="0.35">
      <c r="A29" s="3"/>
      <c r="G29" s="20"/>
      <c r="I29" s="3"/>
      <c r="L29" s="21"/>
      <c r="M29" s="21"/>
    </row>
    <row r="30" spans="1:13" x14ac:dyDescent="0.35">
      <c r="A30" s="3"/>
      <c r="G30" s="20"/>
      <c r="I30" s="3"/>
      <c r="L30" s="21"/>
      <c r="M30" s="21"/>
    </row>
    <row r="31" spans="1:13" x14ac:dyDescent="0.35">
      <c r="A31" s="3"/>
      <c r="G31" s="20"/>
      <c r="I31" s="3"/>
      <c r="L31" s="21"/>
      <c r="M31" s="21"/>
    </row>
    <row r="32" spans="1:13" x14ac:dyDescent="0.35">
      <c r="A32" s="5" t="s">
        <v>35</v>
      </c>
      <c r="G32" s="20"/>
      <c r="I32" s="3"/>
      <c r="L32" s="21"/>
      <c r="M32" s="21"/>
    </row>
    <row r="33" spans="1:13" ht="15" thickBot="1" x14ac:dyDescent="0.4">
      <c r="A33" s="3"/>
      <c r="G33" s="20"/>
      <c r="I33" s="3"/>
      <c r="L33" s="21"/>
      <c r="M33" s="21"/>
    </row>
    <row r="34" spans="1:13" ht="15" thickBot="1" x14ac:dyDescent="0.4">
      <c r="A34" s="92" t="s">
        <v>1</v>
      </c>
      <c r="B34" s="93"/>
      <c r="C34" s="93"/>
      <c r="D34" s="93"/>
      <c r="E34" s="93"/>
      <c r="F34" s="93"/>
      <c r="G34" s="93"/>
      <c r="H34" s="80" t="s">
        <v>2</v>
      </c>
      <c r="I34" s="81"/>
      <c r="J34" s="80" t="s">
        <v>3</v>
      </c>
      <c r="K34" s="81"/>
      <c r="L34" s="80" t="s">
        <v>4</v>
      </c>
      <c r="M34" s="98"/>
    </row>
    <row r="35" spans="1:13" ht="16.5" x14ac:dyDescent="0.35">
      <c r="A35" s="94" t="s">
        <v>23</v>
      </c>
      <c r="B35" s="95"/>
      <c r="C35" s="95"/>
      <c r="D35" s="95"/>
      <c r="E35" s="95"/>
      <c r="F35" s="95"/>
      <c r="G35" s="95"/>
      <c r="H35" s="76">
        <f>M28</f>
        <v>7.8149999999999997E-2</v>
      </c>
      <c r="I35" s="77"/>
      <c r="J35" s="76">
        <v>0.36530000000000001</v>
      </c>
      <c r="K35" s="77"/>
      <c r="L35" s="76">
        <f>H35*J35</f>
        <v>2.8548194999999998E-2</v>
      </c>
      <c r="M35" s="99"/>
    </row>
    <row r="36" spans="1:13" ht="16.5" x14ac:dyDescent="0.45">
      <c r="A36" s="96" t="s">
        <v>24</v>
      </c>
      <c r="B36" s="97"/>
      <c r="C36" s="97"/>
      <c r="D36" s="97"/>
      <c r="E36" s="97"/>
      <c r="F36" s="97"/>
      <c r="G36" s="97"/>
      <c r="H36" s="78">
        <f>G28</f>
        <v>0.13758999999999999</v>
      </c>
      <c r="I36" s="79"/>
      <c r="J36" s="78">
        <v>0.63470000000000004</v>
      </c>
      <c r="K36" s="79"/>
      <c r="L36" s="78">
        <f>H36*J36</f>
        <v>8.7328373000000001E-2</v>
      </c>
      <c r="M36" s="91"/>
    </row>
    <row r="37" spans="1:13" ht="3.75" customHeight="1" x14ac:dyDescent="0.35">
      <c r="A37" s="82"/>
      <c r="B37" s="83"/>
      <c r="C37" s="83"/>
      <c r="D37" s="83"/>
      <c r="E37" s="83"/>
      <c r="F37" s="83"/>
      <c r="G37" s="84"/>
      <c r="H37" s="13"/>
      <c r="I37" s="14"/>
      <c r="J37" s="13"/>
      <c r="K37" s="14"/>
      <c r="L37" s="13"/>
      <c r="M37" s="15"/>
    </row>
    <row r="38" spans="1:13" ht="15" thickBot="1" x14ac:dyDescent="0.4">
      <c r="A38" s="85" t="s">
        <v>5</v>
      </c>
      <c r="B38" s="86"/>
      <c r="C38" s="86"/>
      <c r="D38" s="86"/>
      <c r="E38" s="86"/>
      <c r="F38" s="86"/>
      <c r="G38" s="86"/>
      <c r="H38" s="16"/>
      <c r="I38" s="17"/>
      <c r="J38" s="16"/>
      <c r="K38" s="17"/>
      <c r="L38" s="72">
        <f>SUM(L35:M36)</f>
        <v>0.115876568</v>
      </c>
      <c r="M38" s="73"/>
    </row>
    <row r="40" spans="1:13" x14ac:dyDescent="0.35">
      <c r="A40" s="8" t="s">
        <v>15</v>
      </c>
    </row>
    <row r="41" spans="1:13" ht="16.5" x14ac:dyDescent="0.45">
      <c r="A41" s="11" t="s">
        <v>38</v>
      </c>
      <c r="B41" s="35" t="s">
        <v>42</v>
      </c>
    </row>
    <row r="42" spans="1:13" x14ac:dyDescent="0.35">
      <c r="A42" s="11" t="s">
        <v>43</v>
      </c>
      <c r="B42" s="35" t="s">
        <v>45</v>
      </c>
    </row>
    <row r="43" spans="1:13" x14ac:dyDescent="0.35">
      <c r="A43" s="11" t="s">
        <v>44</v>
      </c>
      <c r="B43" s="35" t="s">
        <v>46</v>
      </c>
    </row>
    <row r="44" spans="1:13" ht="16.5" x14ac:dyDescent="0.45">
      <c r="A44" s="11" t="s">
        <v>47</v>
      </c>
      <c r="B44" s="35" t="s">
        <v>39</v>
      </c>
    </row>
    <row r="45" spans="1:13" x14ac:dyDescent="0.35">
      <c r="A45" s="9" t="s">
        <v>40</v>
      </c>
      <c r="B45" s="35" t="s">
        <v>41</v>
      </c>
    </row>
  </sheetData>
  <sheetProtection selectLockedCells="1" selectUnlockedCells="1"/>
  <mergeCells count="30">
    <mergeCell ref="A2:M2"/>
    <mergeCell ref="A3:M3"/>
    <mergeCell ref="E9:F9"/>
    <mergeCell ref="G9:H9"/>
    <mergeCell ref="B9:D9"/>
    <mergeCell ref="I9:J9"/>
    <mergeCell ref="K9:L9"/>
    <mergeCell ref="E11:F11"/>
    <mergeCell ref="I11:J11"/>
    <mergeCell ref="K11:L11"/>
    <mergeCell ref="L36:M36"/>
    <mergeCell ref="A34:G34"/>
    <mergeCell ref="A35:G35"/>
    <mergeCell ref="A36:G36"/>
    <mergeCell ref="H34:I34"/>
    <mergeCell ref="H35:I35"/>
    <mergeCell ref="H36:I36"/>
    <mergeCell ref="L34:M34"/>
    <mergeCell ref="L35:M35"/>
    <mergeCell ref="G11:H11"/>
    <mergeCell ref="K13:L13"/>
    <mergeCell ref="I13:J13"/>
    <mergeCell ref="G13:H13"/>
    <mergeCell ref="L38:M38"/>
    <mergeCell ref="E13:F13"/>
    <mergeCell ref="J35:K35"/>
    <mergeCell ref="J36:K36"/>
    <mergeCell ref="J34:K34"/>
    <mergeCell ref="A37:G37"/>
    <mergeCell ref="A38:G38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T65"/>
  <sheetViews>
    <sheetView tabSelected="1" zoomScale="75" zoomScaleNormal="75" workbookViewId="0">
      <selection activeCell="D55" sqref="D55"/>
    </sheetView>
  </sheetViews>
  <sheetFormatPr defaultRowHeight="12.5" x14ac:dyDescent="0.25"/>
  <cols>
    <col min="1" max="1" width="5.26953125" customWidth="1"/>
    <col min="2" max="2" width="30" customWidth="1"/>
    <col min="3" max="3" width="11.1796875" customWidth="1"/>
    <col min="4" max="5" width="11.453125" customWidth="1"/>
    <col min="6" max="14" width="12.453125" customWidth="1"/>
    <col min="15" max="15" width="16" customWidth="1"/>
  </cols>
  <sheetData>
    <row r="3" spans="2:20" ht="13" x14ac:dyDescent="0.3">
      <c r="B3" s="71" t="s">
        <v>54</v>
      </c>
    </row>
    <row r="5" spans="2:20" x14ac:dyDescent="0.25">
      <c r="B5" t="s">
        <v>73</v>
      </c>
    </row>
    <row r="6" spans="2:20" s="41" customFormat="1" ht="28.5" customHeight="1" x14ac:dyDescent="0.25">
      <c r="B6" s="53" t="s">
        <v>15</v>
      </c>
      <c r="C6" s="53"/>
      <c r="D6" s="53"/>
      <c r="E6" s="53"/>
      <c r="F6" s="53">
        <v>2025</v>
      </c>
      <c r="G6" s="53">
        <f>F6+1</f>
        <v>2026</v>
      </c>
      <c r="H6" s="53">
        <f t="shared" ref="H6:N6" si="0">G6+1</f>
        <v>2027</v>
      </c>
      <c r="I6" s="53">
        <f t="shared" si="0"/>
        <v>2028</v>
      </c>
      <c r="J6" s="53">
        <f t="shared" si="0"/>
        <v>2029</v>
      </c>
      <c r="K6" s="53">
        <f t="shared" si="0"/>
        <v>2030</v>
      </c>
      <c r="L6" s="53">
        <f t="shared" si="0"/>
        <v>2031</v>
      </c>
      <c r="M6" s="53">
        <f t="shared" si="0"/>
        <v>2032</v>
      </c>
      <c r="N6" s="53">
        <f t="shared" si="0"/>
        <v>2033</v>
      </c>
      <c r="O6" s="65" t="s">
        <v>69</v>
      </c>
    </row>
    <row r="7" spans="2:20" s="40" customFormat="1" ht="18.75" customHeight="1" x14ac:dyDescent="0.25">
      <c r="B7" s="42" t="s">
        <v>56</v>
      </c>
      <c r="C7" s="42"/>
      <c r="D7" s="43">
        <v>0.02</v>
      </c>
      <c r="E7" s="43"/>
      <c r="F7" s="45">
        <v>10000</v>
      </c>
      <c r="G7" s="45">
        <f>F7+(F7*2%)</f>
        <v>10200</v>
      </c>
      <c r="H7" s="45">
        <f t="shared" ref="H7:N8" si="1">G7+(G7*2%)</f>
        <v>10404</v>
      </c>
      <c r="I7" s="45">
        <f t="shared" si="1"/>
        <v>10612.08</v>
      </c>
      <c r="J7" s="45">
        <f t="shared" si="1"/>
        <v>10824.321599999999</v>
      </c>
      <c r="K7" s="45">
        <f t="shared" si="1"/>
        <v>11040.808031999999</v>
      </c>
      <c r="L7" s="45">
        <f t="shared" si="1"/>
        <v>11261.62419264</v>
      </c>
      <c r="M7" s="45">
        <f t="shared" si="1"/>
        <v>11486.8566764928</v>
      </c>
      <c r="N7" s="45">
        <f t="shared" si="1"/>
        <v>11716.593810022656</v>
      </c>
      <c r="O7" s="56"/>
      <c r="P7" s="46"/>
      <c r="Q7" s="46"/>
      <c r="R7" s="46"/>
      <c r="S7" s="46"/>
      <c r="T7" s="46"/>
    </row>
    <row r="8" spans="2:20" s="40" customFormat="1" ht="18.75" customHeight="1" x14ac:dyDescent="0.25">
      <c r="B8" s="42" t="s">
        <v>57</v>
      </c>
      <c r="C8" s="42"/>
      <c r="D8" s="43">
        <v>0.01</v>
      </c>
      <c r="E8" s="43"/>
      <c r="F8" s="45">
        <v>50</v>
      </c>
      <c r="G8" s="47">
        <f>F8+(F8*2%)</f>
        <v>51</v>
      </c>
      <c r="H8" s="47">
        <f t="shared" si="1"/>
        <v>52.02</v>
      </c>
      <c r="I8" s="47">
        <f t="shared" si="1"/>
        <v>53.060400000000001</v>
      </c>
      <c r="J8" s="47">
        <f t="shared" si="1"/>
        <v>54.121608000000002</v>
      </c>
      <c r="K8" s="47">
        <f t="shared" si="1"/>
        <v>55.204040160000005</v>
      </c>
      <c r="L8" s="47">
        <f t="shared" si="1"/>
        <v>56.308120963200004</v>
      </c>
      <c r="M8" s="47">
        <f t="shared" si="1"/>
        <v>57.434283382464002</v>
      </c>
      <c r="N8" s="47">
        <f t="shared" si="1"/>
        <v>58.582969050113284</v>
      </c>
      <c r="O8" s="46"/>
      <c r="P8" s="46"/>
      <c r="Q8" s="46"/>
      <c r="R8" s="46"/>
      <c r="S8" s="46"/>
      <c r="T8" s="46"/>
    </row>
    <row r="9" spans="2:20" s="40" customFormat="1" ht="18.75" customHeight="1" x14ac:dyDescent="0.25">
      <c r="B9" s="42" t="s">
        <v>59</v>
      </c>
      <c r="C9" s="42"/>
      <c r="D9" s="44"/>
      <c r="E9" s="44"/>
      <c r="F9" s="45">
        <f>F8*F7</f>
        <v>500000</v>
      </c>
      <c r="G9" s="45">
        <f t="shared" ref="G9:N9" si="2">G8*G7</f>
        <v>520200</v>
      </c>
      <c r="H9" s="45">
        <f t="shared" si="2"/>
        <v>541216.08000000007</v>
      </c>
      <c r="I9" s="45">
        <f t="shared" si="2"/>
        <v>563081.20963199995</v>
      </c>
      <c r="J9" s="45">
        <f t="shared" si="2"/>
        <v>585829.69050113275</v>
      </c>
      <c r="K9" s="45">
        <f t="shared" si="2"/>
        <v>609497.20999737852</v>
      </c>
      <c r="L9" s="45">
        <f t="shared" si="2"/>
        <v>634120.89728127269</v>
      </c>
      <c r="M9" s="45">
        <f t="shared" si="2"/>
        <v>659739.38153143611</v>
      </c>
      <c r="N9" s="45">
        <f t="shared" si="2"/>
        <v>686392.85254530609</v>
      </c>
      <c r="O9" s="46"/>
      <c r="P9" s="46"/>
      <c r="Q9" s="46"/>
      <c r="R9" s="46"/>
      <c r="S9" s="46"/>
      <c r="T9" s="46"/>
    </row>
    <row r="10" spans="2:20" s="40" customFormat="1" ht="18.75" customHeight="1" x14ac:dyDescent="0.25">
      <c r="B10" s="42"/>
      <c r="C10" s="42"/>
      <c r="D10" s="44"/>
      <c r="E10" s="44"/>
      <c r="F10" s="45"/>
      <c r="G10" s="45"/>
      <c r="H10" s="45"/>
      <c r="I10" s="45"/>
      <c r="J10" s="45"/>
      <c r="K10" s="45"/>
      <c r="L10" s="45"/>
      <c r="M10" s="45"/>
      <c r="N10" s="45"/>
      <c r="O10" s="46"/>
      <c r="P10" s="46"/>
      <c r="Q10" s="46"/>
      <c r="R10" s="46"/>
      <c r="S10" s="46"/>
      <c r="T10" s="46"/>
    </row>
    <row r="11" spans="2:20" s="40" customFormat="1" ht="18.75" customHeight="1" x14ac:dyDescent="0.25">
      <c r="B11" s="42" t="s">
        <v>58</v>
      </c>
      <c r="C11" s="42"/>
      <c r="D11" s="43">
        <v>0.04</v>
      </c>
      <c r="E11" s="43"/>
      <c r="F11" s="45">
        <v>420000</v>
      </c>
      <c r="G11" s="47">
        <f>F11+(F11*4%)</f>
        <v>436800</v>
      </c>
      <c r="H11" s="47">
        <f t="shared" ref="H11:N11" si="3">G11+(G11*4%)</f>
        <v>454272</v>
      </c>
      <c r="I11" s="47">
        <f t="shared" si="3"/>
        <v>472442.88</v>
      </c>
      <c r="J11" s="47">
        <f t="shared" si="3"/>
        <v>491340.59519999998</v>
      </c>
      <c r="K11" s="47">
        <f t="shared" si="3"/>
        <v>510994.21900799999</v>
      </c>
      <c r="L11" s="47">
        <f t="shared" si="3"/>
        <v>531433.98776832002</v>
      </c>
      <c r="M11" s="47">
        <f t="shared" si="3"/>
        <v>552691.34727905283</v>
      </c>
      <c r="N11" s="47">
        <f t="shared" si="3"/>
        <v>574799.00117021496</v>
      </c>
      <c r="O11" s="46"/>
      <c r="P11" s="46"/>
      <c r="Q11" s="46"/>
      <c r="R11" s="46"/>
      <c r="S11" s="46"/>
      <c r="T11" s="46"/>
    </row>
    <row r="12" spans="2:20" s="40" customFormat="1" ht="18.75" customHeight="1" x14ac:dyDescent="0.25">
      <c r="B12" s="42" t="s">
        <v>52</v>
      </c>
      <c r="C12" s="42"/>
      <c r="D12" s="44"/>
      <c r="E12" s="44"/>
      <c r="F12" s="45">
        <v>10</v>
      </c>
      <c r="G12" s="45">
        <v>10</v>
      </c>
      <c r="H12" s="45">
        <v>10</v>
      </c>
      <c r="I12" s="45">
        <v>10</v>
      </c>
      <c r="J12" s="45">
        <v>10</v>
      </c>
      <c r="K12" s="45">
        <v>10</v>
      </c>
      <c r="L12" s="45">
        <v>10</v>
      </c>
      <c r="M12" s="45">
        <v>10</v>
      </c>
      <c r="N12" s="45">
        <v>10</v>
      </c>
      <c r="O12" s="46"/>
      <c r="P12" s="46"/>
      <c r="Q12" s="46"/>
      <c r="R12" s="46"/>
      <c r="S12" s="46"/>
      <c r="T12" s="46"/>
    </row>
    <row r="13" spans="2:20" s="40" customFormat="1" ht="18.75" customHeight="1" x14ac:dyDescent="0.25">
      <c r="B13" s="42"/>
      <c r="C13" s="42"/>
      <c r="D13" s="44"/>
      <c r="E13" s="44"/>
      <c r="F13" s="45"/>
      <c r="G13" s="47">
        <f>(G14-F14)/F14</f>
        <v>4.2244719410073739E-2</v>
      </c>
      <c r="H13" s="47">
        <f t="shared" ref="H13:N13" si="4">(H14-G14)/G14</f>
        <v>4.250005995922862E-2</v>
      </c>
      <c r="I13" s="47">
        <f t="shared" si="4"/>
        <v>4.249483783574718E-2</v>
      </c>
      <c r="J13" s="47">
        <f t="shared" si="4"/>
        <v>4.2489646281345002E-2</v>
      </c>
      <c r="K13" s="47">
        <f t="shared" si="4"/>
        <v>4.2484484800074565E-2</v>
      </c>
      <c r="L13" s="47">
        <f t="shared" si="4"/>
        <v>4.2479352911775466E-2</v>
      </c>
      <c r="M13" s="47">
        <f t="shared" si="4"/>
        <v>4.2474250151446728E-2</v>
      </c>
      <c r="N13" s="47">
        <f t="shared" si="4"/>
        <v>4.2469176068661088E-2</v>
      </c>
      <c r="O13" s="46"/>
      <c r="P13" s="46"/>
      <c r="Q13" s="46"/>
      <c r="R13" s="46"/>
      <c r="S13" s="46"/>
      <c r="T13" s="46"/>
    </row>
    <row r="14" spans="2:20" s="40" customFormat="1" ht="18.75" customHeight="1" x14ac:dyDescent="0.25">
      <c r="B14" s="42" t="s">
        <v>60</v>
      </c>
      <c r="C14" s="42"/>
      <c r="D14" s="44"/>
      <c r="E14" s="44"/>
      <c r="F14" s="45">
        <f>F9-F11+F12</f>
        <v>80010</v>
      </c>
      <c r="G14" s="45">
        <f t="shared" ref="G14:M14" si="5">G9-(G11+G12)</f>
        <v>83390</v>
      </c>
      <c r="H14" s="45">
        <f t="shared" si="5"/>
        <v>86934.080000000075</v>
      </c>
      <c r="I14" s="45">
        <f t="shared" si="5"/>
        <v>90628.32963199995</v>
      </c>
      <c r="J14" s="45">
        <f t="shared" si="5"/>
        <v>94479.095301132766</v>
      </c>
      <c r="K14" s="45">
        <f t="shared" si="5"/>
        <v>98492.990989378537</v>
      </c>
      <c r="L14" s="45">
        <f t="shared" si="5"/>
        <v>102676.90951295267</v>
      </c>
      <c r="M14" s="45">
        <f t="shared" si="5"/>
        <v>107038.03425238328</v>
      </c>
      <c r="N14" s="45">
        <f>N9-(N11+N12)</f>
        <v>111583.85137509112</v>
      </c>
      <c r="O14" s="46"/>
      <c r="P14" s="46"/>
      <c r="Q14" s="46"/>
      <c r="R14" s="46"/>
      <c r="S14" s="46"/>
      <c r="T14" s="46"/>
    </row>
    <row r="15" spans="2:20" s="40" customFormat="1" ht="18.75" customHeight="1" x14ac:dyDescent="0.25">
      <c r="B15" s="42" t="s">
        <v>61</v>
      </c>
      <c r="C15" s="42"/>
      <c r="D15" s="44"/>
      <c r="E15" s="44"/>
      <c r="F15" s="48">
        <v>0.06</v>
      </c>
      <c r="G15" s="48">
        <v>0.06</v>
      </c>
      <c r="H15" s="48">
        <v>0.06</v>
      </c>
      <c r="I15" s="48">
        <v>0.06</v>
      </c>
      <c r="J15" s="48">
        <v>0.06</v>
      </c>
      <c r="K15" s="48">
        <v>0.06</v>
      </c>
      <c r="L15" s="48">
        <v>0.06</v>
      </c>
      <c r="M15" s="48">
        <v>0.06</v>
      </c>
      <c r="N15" s="48">
        <v>0.06</v>
      </c>
      <c r="O15" s="46"/>
      <c r="P15" s="46"/>
      <c r="Q15" s="46"/>
      <c r="R15" s="46"/>
      <c r="S15" s="46"/>
      <c r="T15" s="46"/>
    </row>
    <row r="16" spans="2:20" s="40" customFormat="1" ht="18.75" customHeight="1" x14ac:dyDescent="0.25">
      <c r="B16" s="50" t="s">
        <v>62</v>
      </c>
      <c r="C16" s="50"/>
      <c r="D16" s="51"/>
      <c r="E16" s="51"/>
      <c r="F16" s="52">
        <f>F15*F14</f>
        <v>4800.5999999999995</v>
      </c>
      <c r="G16" s="52">
        <f t="shared" ref="G16:N16" si="6">G15*G14</f>
        <v>5003.3999999999996</v>
      </c>
      <c r="H16" s="52">
        <f t="shared" si="6"/>
        <v>5216.0448000000042</v>
      </c>
      <c r="I16" s="52">
        <f t="shared" si="6"/>
        <v>5437.6997779199964</v>
      </c>
      <c r="J16" s="52">
        <f t="shared" si="6"/>
        <v>5668.7457180679658</v>
      </c>
      <c r="K16" s="52">
        <f t="shared" si="6"/>
        <v>5909.5794593627124</v>
      </c>
      <c r="L16" s="52">
        <f t="shared" si="6"/>
        <v>6160.6145707771602</v>
      </c>
      <c r="M16" s="52">
        <f t="shared" si="6"/>
        <v>6422.2820551429968</v>
      </c>
      <c r="N16" s="52">
        <f t="shared" si="6"/>
        <v>6695.0310825054667</v>
      </c>
      <c r="O16" s="46"/>
      <c r="P16" s="46"/>
      <c r="Q16" s="46"/>
      <c r="R16" s="46"/>
      <c r="S16" s="46"/>
      <c r="T16" s="46"/>
    </row>
    <row r="19" spans="2:15" x14ac:dyDescent="0.25">
      <c r="B19" t="s">
        <v>74</v>
      </c>
    </row>
    <row r="20" spans="2:15" ht="30.75" customHeight="1" x14ac:dyDescent="0.25">
      <c r="B20" s="53" t="s">
        <v>15</v>
      </c>
      <c r="C20" s="53"/>
      <c r="D20" s="53"/>
      <c r="E20" s="53"/>
      <c r="F20" s="53">
        <f>F6</f>
        <v>2025</v>
      </c>
      <c r="G20" s="53">
        <f t="shared" ref="G20:N20" si="7">G6</f>
        <v>2026</v>
      </c>
      <c r="H20" s="53">
        <f t="shared" si="7"/>
        <v>2027</v>
      </c>
      <c r="I20" s="53">
        <f t="shared" si="7"/>
        <v>2028</v>
      </c>
      <c r="J20" s="53">
        <f t="shared" si="7"/>
        <v>2029</v>
      </c>
      <c r="K20" s="53">
        <f t="shared" si="7"/>
        <v>2030</v>
      </c>
      <c r="L20" s="53">
        <f t="shared" si="7"/>
        <v>2031</v>
      </c>
      <c r="M20" s="53">
        <f t="shared" si="7"/>
        <v>2032</v>
      </c>
      <c r="N20" s="53">
        <f t="shared" si="7"/>
        <v>2033</v>
      </c>
      <c r="O20" s="65" t="s">
        <v>69</v>
      </c>
    </row>
    <row r="21" spans="2:15" ht="20.25" customHeight="1" x14ac:dyDescent="0.25">
      <c r="B21" s="42" t="s">
        <v>56</v>
      </c>
      <c r="C21" s="42"/>
      <c r="D21" s="43">
        <v>0.02</v>
      </c>
      <c r="E21" s="43"/>
      <c r="F21" s="45">
        <v>2500</v>
      </c>
      <c r="G21" s="45">
        <f>F21+(F21*2%)</f>
        <v>2550</v>
      </c>
      <c r="H21" s="45">
        <f t="shared" ref="H21:N22" si="8">G21+(G21*2%)</f>
        <v>2601</v>
      </c>
      <c r="I21" s="45">
        <f t="shared" si="8"/>
        <v>2653.02</v>
      </c>
      <c r="J21" s="45">
        <f t="shared" si="8"/>
        <v>2706.0803999999998</v>
      </c>
      <c r="K21" s="45">
        <f t="shared" si="8"/>
        <v>2760.2020079999998</v>
      </c>
      <c r="L21" s="45">
        <f t="shared" si="8"/>
        <v>2815.40604816</v>
      </c>
      <c r="M21" s="45">
        <f t="shared" si="8"/>
        <v>2871.7141691232</v>
      </c>
      <c r="N21" s="45">
        <f t="shared" si="8"/>
        <v>2929.148452505664</v>
      </c>
    </row>
    <row r="22" spans="2:15" ht="20.25" customHeight="1" x14ac:dyDescent="0.25">
      <c r="B22" s="42" t="s">
        <v>57</v>
      </c>
      <c r="C22" s="42"/>
      <c r="D22" s="43">
        <v>0.01</v>
      </c>
      <c r="E22" s="43"/>
      <c r="F22" s="45">
        <v>48</v>
      </c>
      <c r="G22" s="47">
        <f>F22+(F22*2%)</f>
        <v>48.96</v>
      </c>
      <c r="H22" s="47">
        <f t="shared" si="8"/>
        <v>49.9392</v>
      </c>
      <c r="I22" s="47">
        <f t="shared" si="8"/>
        <v>50.937984</v>
      </c>
      <c r="J22" s="47">
        <f t="shared" si="8"/>
        <v>51.956743680000002</v>
      </c>
      <c r="K22" s="47">
        <f t="shared" si="8"/>
        <v>52.995878553600001</v>
      </c>
      <c r="L22" s="47">
        <f t="shared" si="8"/>
        <v>54.055796124672</v>
      </c>
      <c r="M22" s="47">
        <f t="shared" si="8"/>
        <v>55.136912047165438</v>
      </c>
      <c r="N22" s="47">
        <f t="shared" si="8"/>
        <v>56.239650288108749</v>
      </c>
    </row>
    <row r="23" spans="2:15" ht="20.25" customHeight="1" x14ac:dyDescent="0.25">
      <c r="B23" s="42" t="s">
        <v>59</v>
      </c>
      <c r="C23" s="42"/>
      <c r="D23" s="44"/>
      <c r="E23" s="44"/>
      <c r="F23" s="45">
        <f>F22*F21</f>
        <v>120000</v>
      </c>
      <c r="G23" s="45">
        <f t="shared" ref="G23:N23" si="9">G22*G21</f>
        <v>124848</v>
      </c>
      <c r="H23" s="45">
        <f t="shared" si="9"/>
        <v>129891.85919999999</v>
      </c>
      <c r="I23" s="45">
        <f t="shared" si="9"/>
        <v>135139.49031168001</v>
      </c>
      <c r="J23" s="45">
        <f t="shared" si="9"/>
        <v>140599.12572027187</v>
      </c>
      <c r="K23" s="45">
        <f t="shared" si="9"/>
        <v>146279.33039937084</v>
      </c>
      <c r="L23" s="45">
        <f t="shared" si="9"/>
        <v>152189.01534750542</v>
      </c>
      <c r="M23" s="45">
        <f t="shared" si="9"/>
        <v>158337.45156754466</v>
      </c>
      <c r="N23" s="45">
        <f t="shared" si="9"/>
        <v>164734.28461087347</v>
      </c>
    </row>
    <row r="24" spans="2:15" ht="20.25" customHeight="1" x14ac:dyDescent="0.25">
      <c r="B24" s="42"/>
      <c r="C24" s="42"/>
      <c r="D24" s="44"/>
      <c r="E24" s="44"/>
      <c r="F24" s="45"/>
      <c r="G24" s="45"/>
      <c r="H24" s="45"/>
      <c r="I24" s="45"/>
      <c r="J24" s="45"/>
      <c r="K24" s="45"/>
      <c r="L24" s="45"/>
      <c r="M24" s="45"/>
      <c r="N24" s="45"/>
    </row>
    <row r="25" spans="2:15" ht="20.25" customHeight="1" x14ac:dyDescent="0.25">
      <c r="B25" s="42" t="s">
        <v>58</v>
      </c>
      <c r="C25" s="42"/>
      <c r="D25" s="43">
        <v>0.04</v>
      </c>
      <c r="E25" s="43"/>
      <c r="F25" s="45">
        <v>100000</v>
      </c>
      <c r="G25" s="47">
        <f>F25+(F25*4%)</f>
        <v>104000</v>
      </c>
      <c r="H25" s="47">
        <f t="shared" ref="H25:N25" si="10">G25+(G25*4%)</f>
        <v>108160</v>
      </c>
      <c r="I25" s="47">
        <f t="shared" si="10"/>
        <v>112486.39999999999</v>
      </c>
      <c r="J25" s="47">
        <f t="shared" si="10"/>
        <v>116985.856</v>
      </c>
      <c r="K25" s="47">
        <f t="shared" si="10"/>
        <v>121665.29024</v>
      </c>
      <c r="L25" s="47">
        <f t="shared" si="10"/>
        <v>126531.90184960001</v>
      </c>
      <c r="M25" s="47">
        <f t="shared" si="10"/>
        <v>131593.17792358401</v>
      </c>
      <c r="N25" s="47">
        <f t="shared" si="10"/>
        <v>136856.90504052737</v>
      </c>
    </row>
    <row r="26" spans="2:15" ht="20.25" customHeight="1" x14ac:dyDescent="0.25">
      <c r="B26" s="42" t="s">
        <v>52</v>
      </c>
      <c r="C26" s="42"/>
      <c r="D26" s="44"/>
      <c r="E26" s="44"/>
      <c r="F26" s="45">
        <v>3</v>
      </c>
      <c r="G26" s="45">
        <v>3</v>
      </c>
      <c r="H26" s="45">
        <v>3</v>
      </c>
      <c r="I26" s="45">
        <v>3</v>
      </c>
      <c r="J26" s="45">
        <v>3</v>
      </c>
      <c r="K26" s="45">
        <v>3</v>
      </c>
      <c r="L26" s="45">
        <v>3</v>
      </c>
      <c r="M26" s="45">
        <v>3</v>
      </c>
      <c r="N26" s="45">
        <v>3</v>
      </c>
    </row>
    <row r="27" spans="2:15" ht="20.25" customHeight="1" x14ac:dyDescent="0.25">
      <c r="B27" s="42"/>
      <c r="C27" s="42"/>
      <c r="D27" s="44"/>
      <c r="E27" s="44"/>
      <c r="F27" s="47"/>
      <c r="G27" s="47"/>
      <c r="H27" s="47"/>
      <c r="I27" s="47"/>
      <c r="J27" s="47"/>
      <c r="K27" s="47"/>
      <c r="L27" s="47"/>
      <c r="M27" s="47"/>
      <c r="N27" s="45"/>
    </row>
    <row r="28" spans="2:15" ht="20.25" customHeight="1" x14ac:dyDescent="0.25">
      <c r="B28" s="42" t="s">
        <v>60</v>
      </c>
      <c r="C28" s="42"/>
      <c r="D28" s="44"/>
      <c r="E28" s="44"/>
      <c r="F28" s="45">
        <f>F23-F25+F26</f>
        <v>20003</v>
      </c>
      <c r="G28" s="45">
        <f t="shared" ref="G28:M28" si="11">G23-(G25+G26)</f>
        <v>20845</v>
      </c>
      <c r="H28" s="45">
        <f t="shared" si="11"/>
        <v>21728.859199999992</v>
      </c>
      <c r="I28" s="45">
        <f t="shared" si="11"/>
        <v>22650.090311680018</v>
      </c>
      <c r="J28" s="45">
        <f t="shared" si="11"/>
        <v>23610.26972027187</v>
      </c>
      <c r="K28" s="45">
        <f t="shared" si="11"/>
        <v>24611.040159370838</v>
      </c>
      <c r="L28" s="45">
        <f t="shared" si="11"/>
        <v>25654.113497905419</v>
      </c>
      <c r="M28" s="45">
        <f t="shared" si="11"/>
        <v>26741.273643960652</v>
      </c>
      <c r="N28" s="45">
        <f>N23-(N25+N26)</f>
        <v>27874.379570346093</v>
      </c>
    </row>
    <row r="29" spans="2:15" ht="20.25" customHeight="1" x14ac:dyDescent="0.25">
      <c r="B29" s="42" t="s">
        <v>61</v>
      </c>
      <c r="C29" s="42"/>
      <c r="D29" s="44"/>
      <c r="E29" s="44"/>
      <c r="F29" s="48">
        <v>0.06</v>
      </c>
      <c r="G29" s="48">
        <v>0.06</v>
      </c>
      <c r="H29" s="48">
        <v>0.06</v>
      </c>
      <c r="I29" s="48">
        <v>0.06</v>
      </c>
      <c r="J29" s="48">
        <v>0.06</v>
      </c>
      <c r="K29" s="48">
        <v>0.06</v>
      </c>
      <c r="L29" s="48">
        <v>0.06</v>
      </c>
      <c r="M29" s="48">
        <v>0.06</v>
      </c>
      <c r="N29" s="48">
        <v>0.06</v>
      </c>
    </row>
    <row r="30" spans="2:15" ht="20.25" customHeight="1" x14ac:dyDescent="0.25">
      <c r="B30" s="50" t="s">
        <v>62</v>
      </c>
      <c r="C30" s="50"/>
      <c r="D30" s="51"/>
      <c r="E30" s="51"/>
      <c r="F30" s="52">
        <f>F29*F28</f>
        <v>1200.18</v>
      </c>
      <c r="G30" s="52">
        <f t="shared" ref="G30:N30" si="12">G29*G28</f>
        <v>1250.7</v>
      </c>
      <c r="H30" s="52">
        <f t="shared" si="12"/>
        <v>1303.7315519999995</v>
      </c>
      <c r="I30" s="52">
        <f t="shared" si="12"/>
        <v>1359.0054187008011</v>
      </c>
      <c r="J30" s="52">
        <f t="shared" si="12"/>
        <v>1416.616183216312</v>
      </c>
      <c r="K30" s="52">
        <f t="shared" si="12"/>
        <v>1476.6624095622501</v>
      </c>
      <c r="L30" s="52">
        <f t="shared" si="12"/>
        <v>1539.246809874325</v>
      </c>
      <c r="M30" s="52">
        <f t="shared" si="12"/>
        <v>1604.476418637639</v>
      </c>
      <c r="N30" s="52">
        <f t="shared" si="12"/>
        <v>1672.4627742207656</v>
      </c>
    </row>
    <row r="33" spans="2:15" x14ac:dyDescent="0.25">
      <c r="B33" t="s">
        <v>75</v>
      </c>
    </row>
    <row r="34" spans="2:15" ht="30.75" customHeight="1" x14ac:dyDescent="0.25">
      <c r="B34" s="53" t="s">
        <v>15</v>
      </c>
      <c r="C34" s="53"/>
      <c r="D34" s="53"/>
      <c r="E34" s="53"/>
      <c r="F34" s="53">
        <f>F20</f>
        <v>2025</v>
      </c>
      <c r="G34" s="53">
        <f t="shared" ref="G34:N34" si="13">G20</f>
        <v>2026</v>
      </c>
      <c r="H34" s="53">
        <f t="shared" si="13"/>
        <v>2027</v>
      </c>
      <c r="I34" s="53">
        <f t="shared" si="13"/>
        <v>2028</v>
      </c>
      <c r="J34" s="53">
        <f t="shared" si="13"/>
        <v>2029</v>
      </c>
      <c r="K34" s="53">
        <f t="shared" si="13"/>
        <v>2030</v>
      </c>
      <c r="L34" s="53">
        <f t="shared" si="13"/>
        <v>2031</v>
      </c>
      <c r="M34" s="53">
        <f t="shared" si="13"/>
        <v>2032</v>
      </c>
      <c r="N34" s="53">
        <f t="shared" si="13"/>
        <v>2033</v>
      </c>
      <c r="O34" s="65" t="s">
        <v>69</v>
      </c>
    </row>
    <row r="35" spans="2:15" ht="20.25" customHeight="1" x14ac:dyDescent="0.25">
      <c r="B35" s="42" t="s">
        <v>56</v>
      </c>
      <c r="C35" s="42"/>
      <c r="D35" s="43">
        <v>0.02</v>
      </c>
      <c r="E35" s="43"/>
      <c r="F35" s="45">
        <v>14200</v>
      </c>
      <c r="G35" s="45">
        <f>F35+(F35*2%)</f>
        <v>14484</v>
      </c>
      <c r="H35" s="45">
        <f t="shared" ref="H35:N36" si="14">G35+(G35*2%)</f>
        <v>14773.68</v>
      </c>
      <c r="I35" s="45">
        <f t="shared" si="14"/>
        <v>15069.1536</v>
      </c>
      <c r="J35" s="45">
        <f t="shared" si="14"/>
        <v>15370.536672</v>
      </c>
      <c r="K35" s="45">
        <f t="shared" si="14"/>
        <v>15677.94740544</v>
      </c>
      <c r="L35" s="45">
        <f t="shared" si="14"/>
        <v>15991.506353548801</v>
      </c>
      <c r="M35" s="45">
        <f t="shared" si="14"/>
        <v>16311.336480619777</v>
      </c>
      <c r="N35" s="45">
        <f t="shared" si="14"/>
        <v>16637.563210232172</v>
      </c>
    </row>
    <row r="36" spans="2:15" ht="20.25" customHeight="1" x14ac:dyDescent="0.25">
      <c r="B36" s="42" t="s">
        <v>57</v>
      </c>
      <c r="C36" s="42"/>
      <c r="D36" s="43">
        <v>0.01</v>
      </c>
      <c r="E36" s="43"/>
      <c r="F36" s="45">
        <v>46</v>
      </c>
      <c r="G36" s="47">
        <f>F36+(F36*2%)</f>
        <v>46.92</v>
      </c>
      <c r="H36" s="47">
        <f t="shared" si="14"/>
        <v>47.858400000000003</v>
      </c>
      <c r="I36" s="47">
        <f t="shared" si="14"/>
        <v>48.815568000000006</v>
      </c>
      <c r="J36" s="47">
        <f t="shared" si="14"/>
        <v>49.791879360000003</v>
      </c>
      <c r="K36" s="47">
        <f t="shared" si="14"/>
        <v>50.787716947200003</v>
      </c>
      <c r="L36" s="47">
        <f t="shared" si="14"/>
        <v>51.803471286144003</v>
      </c>
      <c r="M36" s="47">
        <f t="shared" si="14"/>
        <v>52.839540711866881</v>
      </c>
      <c r="N36" s="47">
        <f t="shared" si="14"/>
        <v>53.89633152610422</v>
      </c>
    </row>
    <row r="37" spans="2:15" ht="20.25" customHeight="1" x14ac:dyDescent="0.25">
      <c r="B37" s="42" t="s">
        <v>59</v>
      </c>
      <c r="C37" s="42"/>
      <c r="D37" s="44"/>
      <c r="E37" s="44"/>
      <c r="F37" s="45">
        <f>F36*F35</f>
        <v>653200</v>
      </c>
      <c r="G37" s="45">
        <f t="shared" ref="G37:N37" si="15">G36*G35</f>
        <v>679589.28</v>
      </c>
      <c r="H37" s="45">
        <f t="shared" si="15"/>
        <v>707044.68691200006</v>
      </c>
      <c r="I37" s="45">
        <f t="shared" si="15"/>
        <v>735609.29226324486</v>
      </c>
      <c r="J37" s="45">
        <f t="shared" si="15"/>
        <v>765327.90767067997</v>
      </c>
      <c r="K37" s="45">
        <f t="shared" si="15"/>
        <v>796247.15514057537</v>
      </c>
      <c r="L37" s="45">
        <f t="shared" si="15"/>
        <v>828415.54020825471</v>
      </c>
      <c r="M37" s="45">
        <f t="shared" si="15"/>
        <v>861883.52803266817</v>
      </c>
      <c r="N37" s="45">
        <f t="shared" si="15"/>
        <v>896703.62256518798</v>
      </c>
    </row>
    <row r="38" spans="2:15" ht="20.25" customHeight="1" x14ac:dyDescent="0.25">
      <c r="B38" s="42"/>
      <c r="C38" s="42"/>
      <c r="D38" s="44"/>
      <c r="E38" s="44"/>
      <c r="F38" s="45"/>
      <c r="G38" s="45"/>
      <c r="H38" s="45"/>
      <c r="I38" s="45"/>
      <c r="J38" s="45"/>
      <c r="K38" s="45"/>
      <c r="L38" s="45"/>
      <c r="M38" s="45"/>
      <c r="N38" s="45"/>
    </row>
    <row r="39" spans="2:15" ht="20.25" customHeight="1" x14ac:dyDescent="0.25">
      <c r="B39" s="42" t="s">
        <v>58</v>
      </c>
      <c r="C39" s="42"/>
      <c r="D39" s="43">
        <v>0.04</v>
      </c>
      <c r="E39" s="43"/>
      <c r="F39" s="45">
        <v>530000</v>
      </c>
      <c r="G39" s="47">
        <f>F39+(F39*4%)</f>
        <v>551200</v>
      </c>
      <c r="H39" s="47">
        <f t="shared" ref="H39:N39" si="16">G39+(G39*4%)</f>
        <v>573248</v>
      </c>
      <c r="I39" s="47">
        <f t="shared" si="16"/>
        <v>596177.92000000004</v>
      </c>
      <c r="J39" s="47">
        <f t="shared" si="16"/>
        <v>620025.0368</v>
      </c>
      <c r="K39" s="47">
        <f t="shared" si="16"/>
        <v>644826.03827200003</v>
      </c>
      <c r="L39" s="47">
        <f t="shared" si="16"/>
        <v>670619.07980288006</v>
      </c>
      <c r="M39" s="47">
        <f t="shared" si="16"/>
        <v>697443.8429949953</v>
      </c>
      <c r="N39" s="47">
        <f t="shared" si="16"/>
        <v>725341.5967147951</v>
      </c>
    </row>
    <row r="40" spans="2:15" ht="20.25" customHeight="1" x14ac:dyDescent="0.25">
      <c r="B40" s="42" t="s">
        <v>52</v>
      </c>
      <c r="C40" s="42"/>
      <c r="D40" s="44"/>
      <c r="E40" s="44"/>
      <c r="F40" s="45">
        <v>11</v>
      </c>
      <c r="G40" s="45">
        <v>11</v>
      </c>
      <c r="H40" s="45">
        <v>11</v>
      </c>
      <c r="I40" s="45">
        <v>11</v>
      </c>
      <c r="J40" s="45">
        <v>11</v>
      </c>
      <c r="K40" s="45">
        <v>11</v>
      </c>
      <c r="L40" s="45">
        <v>11</v>
      </c>
      <c r="M40" s="45">
        <v>11</v>
      </c>
      <c r="N40" s="45">
        <v>11</v>
      </c>
    </row>
    <row r="41" spans="2:15" ht="20.25" customHeight="1" x14ac:dyDescent="0.25">
      <c r="B41" s="42"/>
      <c r="C41" s="42"/>
      <c r="D41" s="44"/>
      <c r="E41" s="44"/>
      <c r="F41" s="45"/>
      <c r="G41" s="45"/>
      <c r="H41" s="45"/>
      <c r="I41" s="45"/>
      <c r="J41" s="45"/>
      <c r="K41" s="45"/>
      <c r="L41" s="45"/>
      <c r="M41" s="45"/>
      <c r="N41" s="45"/>
    </row>
    <row r="42" spans="2:15" ht="20.25" customHeight="1" x14ac:dyDescent="0.25">
      <c r="B42" s="42" t="s">
        <v>60</v>
      </c>
      <c r="C42" s="42"/>
      <c r="D42" s="44"/>
      <c r="E42" s="44"/>
      <c r="F42" s="45">
        <f>F37-F39+F40</f>
        <v>123211</v>
      </c>
      <c r="G42" s="45">
        <f t="shared" ref="G42:M42" si="17">G37-(G39+G40)</f>
        <v>128378.28000000003</v>
      </c>
      <c r="H42" s="45">
        <f t="shared" si="17"/>
        <v>133785.68691200006</v>
      </c>
      <c r="I42" s="45">
        <f t="shared" si="17"/>
        <v>139420.37226324482</v>
      </c>
      <c r="J42" s="45">
        <f t="shared" si="17"/>
        <v>145291.87087067997</v>
      </c>
      <c r="K42" s="45">
        <f t="shared" si="17"/>
        <v>151410.11686857534</v>
      </c>
      <c r="L42" s="45">
        <f t="shared" si="17"/>
        <v>157785.46040537464</v>
      </c>
      <c r="M42" s="45">
        <f t="shared" si="17"/>
        <v>164428.68503767287</v>
      </c>
      <c r="N42" s="45">
        <f>N37-(N39+N40)</f>
        <v>171351.02585039288</v>
      </c>
    </row>
    <row r="43" spans="2:15" ht="20.25" customHeight="1" x14ac:dyDescent="0.25">
      <c r="B43" s="42" t="s">
        <v>61</v>
      </c>
      <c r="C43" s="42"/>
      <c r="D43" s="44"/>
      <c r="E43" s="44"/>
      <c r="F43" s="48">
        <v>0.06</v>
      </c>
      <c r="G43" s="48">
        <v>0.06</v>
      </c>
      <c r="H43" s="48">
        <v>0.06</v>
      </c>
      <c r="I43" s="48">
        <v>0.06</v>
      </c>
      <c r="J43" s="48">
        <v>0.06</v>
      </c>
      <c r="K43" s="48">
        <v>0.06</v>
      </c>
      <c r="L43" s="48">
        <v>0.06</v>
      </c>
      <c r="M43" s="48">
        <v>0.06</v>
      </c>
      <c r="N43" s="48">
        <v>0.06</v>
      </c>
    </row>
    <row r="44" spans="2:15" ht="20.25" customHeight="1" x14ac:dyDescent="0.25">
      <c r="B44" s="50" t="s">
        <v>62</v>
      </c>
      <c r="C44" s="50"/>
      <c r="D44" s="51"/>
      <c r="E44" s="51"/>
      <c r="F44" s="52">
        <f>F43*F42</f>
        <v>7392.66</v>
      </c>
      <c r="G44" s="52">
        <f t="shared" ref="G44:N44" si="18">G43*G42</f>
        <v>7702.6968000000015</v>
      </c>
      <c r="H44" s="52">
        <f t="shared" si="18"/>
        <v>8027.1412147200035</v>
      </c>
      <c r="I44" s="52">
        <f t="shared" si="18"/>
        <v>8365.2223357946896</v>
      </c>
      <c r="J44" s="52">
        <f t="shared" si="18"/>
        <v>8717.5122522407983</v>
      </c>
      <c r="K44" s="52">
        <f t="shared" si="18"/>
        <v>9084.6070121145203</v>
      </c>
      <c r="L44" s="52">
        <f t="shared" si="18"/>
        <v>9467.1276243224784</v>
      </c>
      <c r="M44" s="52">
        <f t="shared" si="18"/>
        <v>9865.7211022603715</v>
      </c>
      <c r="N44" s="52">
        <f t="shared" si="18"/>
        <v>10281.061551023573</v>
      </c>
    </row>
    <row r="47" spans="2:15" s="54" customFormat="1" ht="15.5" x14ac:dyDescent="0.35">
      <c r="B47" s="54" t="s">
        <v>63</v>
      </c>
    </row>
    <row r="48" spans="2:15" x14ac:dyDescent="0.25">
      <c r="B48" t="s">
        <v>55</v>
      </c>
    </row>
    <row r="49" spans="1:20" ht="25.5" customHeight="1" x14ac:dyDescent="0.25">
      <c r="B49" s="119" t="s">
        <v>70</v>
      </c>
      <c r="C49" s="120"/>
      <c r="D49" s="121"/>
      <c r="E49" s="122" t="s">
        <v>71</v>
      </c>
      <c r="F49" s="116" t="s">
        <v>0</v>
      </c>
      <c r="G49" s="116"/>
      <c r="H49" s="116"/>
      <c r="I49" s="116"/>
      <c r="J49" s="116"/>
      <c r="K49" s="116"/>
      <c r="L49" s="116"/>
      <c r="M49" s="116"/>
      <c r="N49" s="116"/>
      <c r="O49" s="117" t="s">
        <v>69</v>
      </c>
    </row>
    <row r="50" spans="1:20" ht="21.75" customHeight="1" x14ac:dyDescent="0.25">
      <c r="B50" s="59"/>
      <c r="C50" s="60"/>
      <c r="D50" s="61"/>
      <c r="E50" s="123"/>
      <c r="F50" s="53">
        <f>F34</f>
        <v>2025</v>
      </c>
      <c r="G50" s="53">
        <f t="shared" ref="G50:N50" si="19">G34</f>
        <v>2026</v>
      </c>
      <c r="H50" s="53">
        <f t="shared" si="19"/>
        <v>2027</v>
      </c>
      <c r="I50" s="53">
        <f t="shared" si="19"/>
        <v>2028</v>
      </c>
      <c r="J50" s="53">
        <f t="shared" si="19"/>
        <v>2029</v>
      </c>
      <c r="K50" s="53">
        <f t="shared" si="19"/>
        <v>2030</v>
      </c>
      <c r="L50" s="53">
        <f t="shared" si="19"/>
        <v>2031</v>
      </c>
      <c r="M50" s="53">
        <f t="shared" si="19"/>
        <v>2032</v>
      </c>
      <c r="N50" s="53">
        <f t="shared" si="19"/>
        <v>2033</v>
      </c>
      <c r="O50" s="118"/>
    </row>
    <row r="51" spans="1:20" ht="20.25" customHeight="1" x14ac:dyDescent="0.25">
      <c r="B51" s="56" t="s">
        <v>64</v>
      </c>
      <c r="C51" s="56"/>
      <c r="D51" s="57" t="s">
        <v>65</v>
      </c>
      <c r="E51" s="69">
        <v>9000</v>
      </c>
      <c r="F51" s="58">
        <f>F44+F30+F30</f>
        <v>9793.02</v>
      </c>
      <c r="G51" s="58">
        <f t="shared" ref="G51:N51" si="20">G44+G30+G30</f>
        <v>10204.096800000003</v>
      </c>
      <c r="H51" s="58">
        <f t="shared" si="20"/>
        <v>10634.604318720003</v>
      </c>
      <c r="I51" s="58">
        <f t="shared" si="20"/>
        <v>11083.233173196291</v>
      </c>
      <c r="J51" s="58">
        <f t="shared" si="20"/>
        <v>11550.744618673423</v>
      </c>
      <c r="K51" s="58">
        <f t="shared" si="20"/>
        <v>12037.931831239021</v>
      </c>
      <c r="L51" s="58">
        <f t="shared" si="20"/>
        <v>12545.621244071128</v>
      </c>
      <c r="M51" s="58">
        <f t="shared" si="20"/>
        <v>13074.673939535651</v>
      </c>
      <c r="N51" s="58">
        <f t="shared" si="20"/>
        <v>13625.987099465103</v>
      </c>
      <c r="O51" s="39">
        <f>(N51*(1+D52)/(D54-D52))</f>
        <v>371455.48056208936</v>
      </c>
    </row>
    <row r="52" spans="1:20" ht="20.25" customHeight="1" x14ac:dyDescent="0.25">
      <c r="B52" s="42"/>
      <c r="C52" s="42" t="s">
        <v>53</v>
      </c>
      <c r="D52" s="43">
        <v>0.04</v>
      </c>
      <c r="E52" s="43"/>
      <c r="F52" s="47">
        <f>0.04</f>
        <v>0.04</v>
      </c>
      <c r="G52" s="47">
        <f t="shared" ref="G52:N52" si="21">0.04</f>
        <v>0.04</v>
      </c>
      <c r="H52" s="47">
        <f t="shared" si="21"/>
        <v>0.04</v>
      </c>
      <c r="I52" s="47">
        <f t="shared" si="21"/>
        <v>0.04</v>
      </c>
      <c r="J52" s="47">
        <f t="shared" si="21"/>
        <v>0.04</v>
      </c>
      <c r="K52" s="47">
        <f t="shared" si="21"/>
        <v>0.04</v>
      </c>
      <c r="L52" s="47">
        <f t="shared" si="21"/>
        <v>0.04</v>
      </c>
      <c r="M52" s="47">
        <f t="shared" si="21"/>
        <v>0.04</v>
      </c>
      <c r="N52" s="47">
        <f t="shared" si="21"/>
        <v>0.04</v>
      </c>
      <c r="O52" s="1"/>
      <c r="Q52" s="63"/>
    </row>
    <row r="53" spans="1:20" ht="20.25" customHeight="1" x14ac:dyDescent="0.25">
      <c r="B53" s="42" t="s">
        <v>0</v>
      </c>
      <c r="C53" s="42"/>
      <c r="D53" s="43"/>
      <c r="E53" s="43"/>
      <c r="F53" s="45">
        <v>1</v>
      </c>
      <c r="G53" s="45">
        <v>2</v>
      </c>
      <c r="H53" s="45">
        <v>3</v>
      </c>
      <c r="I53" s="45">
        <v>4</v>
      </c>
      <c r="J53" s="45">
        <v>5</v>
      </c>
      <c r="K53" s="45">
        <v>6</v>
      </c>
      <c r="L53" s="45">
        <v>7</v>
      </c>
      <c r="M53" s="45">
        <v>8</v>
      </c>
      <c r="N53" s="45">
        <v>9</v>
      </c>
      <c r="O53" s="1"/>
      <c r="Q53" s="63"/>
    </row>
    <row r="54" spans="1:20" ht="20.25" customHeight="1" x14ac:dyDescent="0.25">
      <c r="B54" s="42" t="s">
        <v>66</v>
      </c>
      <c r="C54" s="42"/>
      <c r="D54" s="66">
        <f>'Discount Rate'!M28</f>
        <v>7.8149999999999997E-2</v>
      </c>
      <c r="E54" s="66"/>
      <c r="F54" s="55">
        <f>1/((1+$D$54)^F53)</f>
        <v>0.92751472429624826</v>
      </c>
      <c r="G54" s="55">
        <f t="shared" ref="G54:N54" si="22">1/((1+$D$54)^G53)</f>
        <v>0.86028356378634541</v>
      </c>
      <c r="H54" s="55">
        <f t="shared" si="22"/>
        <v>0.79792567248188606</v>
      </c>
      <c r="I54" s="55">
        <f t="shared" si="22"/>
        <v>0.74008781012093505</v>
      </c>
      <c r="J54" s="55">
        <f t="shared" si="22"/>
        <v>0.68644234115933322</v>
      </c>
      <c r="K54" s="55">
        <f t="shared" si="22"/>
        <v>0.63668537880567011</v>
      </c>
      <c r="L54" s="55">
        <f t="shared" si="22"/>
        <v>0.59053506358639352</v>
      </c>
      <c r="M54" s="55">
        <f t="shared" si="22"/>
        <v>0.54772996668960128</v>
      </c>
      <c r="N54" s="55">
        <f t="shared" si="22"/>
        <v>0.50802760904289879</v>
      </c>
      <c r="O54" s="1"/>
    </row>
    <row r="55" spans="1:20" ht="20.25" customHeight="1" x14ac:dyDescent="0.25">
      <c r="B55" s="42" t="s">
        <v>68</v>
      </c>
      <c r="C55" s="42"/>
      <c r="D55" s="43" t="s">
        <v>65</v>
      </c>
      <c r="E55" s="43"/>
      <c r="F55" s="45">
        <f>F54*F51</f>
        <v>9083.1702453276448</v>
      </c>
      <c r="G55" s="45">
        <f t="shared" ref="G55:N55" si="23">G54*G51</f>
        <v>8778.4167603248461</v>
      </c>
      <c r="H55" s="45">
        <f t="shared" si="23"/>
        <v>8485.623802593429</v>
      </c>
      <c r="I55" s="45">
        <f t="shared" si="23"/>
        <v>8202.5657682105448</v>
      </c>
      <c r="J55" s="45">
        <f t="shared" si="23"/>
        <v>7928.9201781757547</v>
      </c>
      <c r="K55" s="45">
        <f t="shared" si="23"/>
        <v>7664.3751880092495</v>
      </c>
      <c r="L55" s="45">
        <f t="shared" si="23"/>
        <v>7408.6292390983526</v>
      </c>
      <c r="M55" s="45">
        <f t="shared" si="23"/>
        <v>7161.39072137926</v>
      </c>
      <c r="N55" s="45">
        <f t="shared" si="23"/>
        <v>6922.3776469906397</v>
      </c>
      <c r="O55" s="1"/>
    </row>
    <row r="56" spans="1:20" ht="20.25" customHeight="1" x14ac:dyDescent="0.25">
      <c r="B56" s="42" t="s">
        <v>67</v>
      </c>
      <c r="C56" s="42"/>
      <c r="D56" s="43" t="s">
        <v>65</v>
      </c>
      <c r="E56" s="67"/>
      <c r="F56" s="113"/>
      <c r="G56" s="114"/>
      <c r="H56" s="114"/>
      <c r="I56" s="114"/>
      <c r="J56" s="114"/>
      <c r="K56" s="114"/>
      <c r="L56" s="114"/>
      <c r="M56" s="114"/>
      <c r="N56" s="115"/>
      <c r="O56" s="38">
        <f>O51*N54</f>
        <v>188709.63965583922</v>
      </c>
      <c r="Q56" s="64"/>
      <c r="R56" s="64"/>
      <c r="S56" s="64"/>
      <c r="T56" s="64"/>
    </row>
    <row r="57" spans="1:20" ht="20.25" customHeight="1" x14ac:dyDescent="0.35">
      <c r="B57" s="70" t="s">
        <v>51</v>
      </c>
      <c r="C57" s="49"/>
      <c r="D57" s="62" t="s">
        <v>65</v>
      </c>
      <c r="E57" s="68"/>
      <c r="F57" s="110">
        <f>SUM(F55:N55)+O56</f>
        <v>260345.10920594895</v>
      </c>
      <c r="G57" s="111"/>
      <c r="H57" s="111"/>
      <c r="I57" s="111"/>
      <c r="J57" s="111"/>
      <c r="K57" s="111"/>
      <c r="L57" s="111"/>
      <c r="M57" s="111"/>
      <c r="N57" s="112"/>
    </row>
    <row r="59" spans="1:20" ht="21" customHeight="1" x14ac:dyDescent="0.25">
      <c r="A59" s="2"/>
      <c r="B59" s="124" t="s">
        <v>48</v>
      </c>
      <c r="C59" s="124"/>
      <c r="D59" s="124"/>
    </row>
    <row r="60" spans="1:20" x14ac:dyDescent="0.25">
      <c r="A60" s="2"/>
      <c r="B60" s="125"/>
      <c r="C60" s="126"/>
      <c r="D60" s="127"/>
    </row>
    <row r="61" spans="1:20" x14ac:dyDescent="0.25">
      <c r="A61" s="2"/>
      <c r="B61" s="37" t="s">
        <v>72</v>
      </c>
      <c r="C61" s="129">
        <f>E51</f>
        <v>9000</v>
      </c>
      <c r="D61" s="129"/>
    </row>
    <row r="62" spans="1:20" x14ac:dyDescent="0.25">
      <c r="A62" s="2"/>
      <c r="B62" s="37" t="s">
        <v>49</v>
      </c>
      <c r="C62" s="130">
        <f>D54-D52</f>
        <v>3.8149999999999996E-2</v>
      </c>
      <c r="D62" s="130"/>
    </row>
    <row r="63" spans="1:20" x14ac:dyDescent="0.25">
      <c r="A63" s="2"/>
      <c r="B63" s="37" t="s">
        <v>50</v>
      </c>
      <c r="C63" s="132">
        <f>1/C62</f>
        <v>26.212319790301443</v>
      </c>
      <c r="D63" s="132"/>
    </row>
    <row r="64" spans="1:20" x14ac:dyDescent="0.25">
      <c r="A64" s="2"/>
      <c r="B64" s="37"/>
      <c r="C64" s="131"/>
      <c r="D64" s="131"/>
    </row>
    <row r="65" spans="1:4" ht="15.5" x14ac:dyDescent="0.35">
      <c r="A65" s="2"/>
      <c r="B65" s="70" t="s">
        <v>51</v>
      </c>
      <c r="C65" s="128">
        <f>C61*C63</f>
        <v>235910.87811271299</v>
      </c>
      <c r="D65" s="128"/>
    </row>
  </sheetData>
  <mergeCells count="13">
    <mergeCell ref="B59:D59"/>
    <mergeCell ref="B60:D60"/>
    <mergeCell ref="C65:D65"/>
    <mergeCell ref="C61:D61"/>
    <mergeCell ref="C62:D62"/>
    <mergeCell ref="C63:D63"/>
    <mergeCell ref="C64:D64"/>
    <mergeCell ref="B49:D49"/>
    <mergeCell ref="F49:N49"/>
    <mergeCell ref="O49:O50"/>
    <mergeCell ref="F56:N56"/>
    <mergeCell ref="F57:N57"/>
    <mergeCell ref="E49:E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Discount Rate</vt:lpstr>
      <vt:lpstr>pendapatan royalti </vt:lpstr>
      <vt:lpstr>'Discount Rate'!Print_Area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valuasinusantara@gmail.com</cp:lastModifiedBy>
  <cp:lastPrinted>2015-10-06T11:00:12Z</cp:lastPrinted>
  <dcterms:created xsi:type="dcterms:W3CDTF">2015-09-28T03:14:54Z</dcterms:created>
  <dcterms:modified xsi:type="dcterms:W3CDTF">2026-09-08T04:54:42Z</dcterms:modified>
</cp:coreProperties>
</file>